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2.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6.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7.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8.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drawings/drawing9.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4" windowWidth="10080" windowHeight="5856" tabRatio="723" activeTab="0"/>
  </bookViews>
  <sheets>
    <sheet name="Inhoud" sheetId="1" r:id="rId1"/>
    <sheet name="Huidig" sheetId="2" r:id="rId2"/>
    <sheet name="0" sheetId="3" r:id="rId3"/>
    <sheet name="I" sheetId="4" r:id="rId4"/>
    <sheet name="II" sheetId="5" r:id="rId5"/>
    <sheet name="III" sheetId="6" r:id="rId6"/>
    <sheet name="IV" sheetId="7" r:id="rId7"/>
    <sheet name="V" sheetId="8" r:id="rId8"/>
    <sheet name="VI" sheetId="9" r:id="rId9"/>
    <sheet name="VII" sheetId="10" r:id="rId10"/>
    <sheet name="Klad" sheetId="11" r:id="rId11"/>
    <sheet name="Vergelijking" sheetId="12" r:id="rId12"/>
    <sheet name="Result" sheetId="13" r:id="rId13"/>
    <sheet name="Result A" sheetId="14" r:id="rId14"/>
    <sheet name="Stat" sheetId="15" r:id="rId15"/>
    <sheet name="Ref" sheetId="16" r:id="rId16"/>
    <sheet name="Normen" sheetId="17" r:id="rId17"/>
    <sheet name="Hulp RMK" sheetId="18" r:id="rId18"/>
    <sheet name="RMK" sheetId="19" r:id="rId19"/>
  </sheets>
  <definedNames>
    <definedName name="_xlnm.Print_Area" localSheetId="2">'0'!$A$21:$H$150</definedName>
    <definedName name="_xlnm.Print_Area" localSheetId="1">'Huidig'!$A$1:$J$54</definedName>
    <definedName name="_xlnm.Print_Area" localSheetId="3">'I'!$A$21:$H$150</definedName>
    <definedName name="_xlnm.Print_Area" localSheetId="4">'II'!$A$21:$H$150</definedName>
    <definedName name="_xlnm.Print_Area" localSheetId="5">'III'!$A$21:$H$150</definedName>
    <definedName name="_xlnm.Print_Area" localSheetId="6">'IV'!$A$21:$H$150</definedName>
    <definedName name="_xlnm.Print_Area" localSheetId="15">'Ref'!$A$140:$G$171</definedName>
    <definedName name="_xlnm.Print_Area" localSheetId="12">'Result'!$A$1:$P$135</definedName>
    <definedName name="_xlnm.Print_Area" localSheetId="13">'Result A'!$A$14:$I$93</definedName>
    <definedName name="_xlnm.Print_Area" localSheetId="14">'Stat'!$A$10:$I$75</definedName>
    <definedName name="_xlnm.Print_Area" localSheetId="7">'V'!$A$21:$H$150</definedName>
    <definedName name="_xlnm.Print_Area" localSheetId="11">'Vergelijking'!$A$48:$H$72</definedName>
    <definedName name="_xlnm.Print_Area" localSheetId="8">'VI'!$A$21:$H$150</definedName>
    <definedName name="_xlnm.Print_Area" localSheetId="9">'VII'!$A$21:$H$150</definedName>
  </definedNames>
  <calcPr fullCalcOnLoad="1"/>
</workbook>
</file>

<file path=xl/comments1.xml><?xml version="1.0" encoding="utf-8"?>
<comments xmlns="http://schemas.openxmlformats.org/spreadsheetml/2006/main">
  <authors>
    <author>A satisfied Microsoft Office user</author>
  </authors>
  <commentList>
    <comment ref="E11" authorId="0">
      <text>
        <r>
          <rPr>
            <sz val="9"/>
            <rFont val="Tahoma"/>
            <family val="0"/>
          </rPr>
          <t>Indien gewenst kan hier een andere naam worden ingevuld. Deze wordt ook weergegeven bij de tabellen en grafieken.</t>
        </r>
      </text>
    </comment>
    <comment ref="E12" authorId="0">
      <text>
        <r>
          <rPr>
            <sz val="9"/>
            <rFont val="Tahoma"/>
            <family val="0"/>
          </rPr>
          <t>Indien gewenst kan hier een andere naam worden ingevuld. Deze wordt ook weergegeven bij de tabellen en grafieken.</t>
        </r>
      </text>
    </comment>
    <comment ref="E13" authorId="0">
      <text>
        <r>
          <rPr>
            <sz val="9"/>
            <rFont val="Tahoma"/>
            <family val="0"/>
          </rPr>
          <t>Indien gewenst kan hier een andere naam worden ingevuld. Deze wordt ook weergegeven bij de tabellen en grafieken.</t>
        </r>
      </text>
    </comment>
    <comment ref="E14" authorId="0">
      <text>
        <r>
          <rPr>
            <sz val="9"/>
            <rFont val="Tahoma"/>
            <family val="0"/>
          </rPr>
          <t>Indien gewenst kan hier een andere naam worden ingevuld. Deze wordt ook weergegeven bij de tabellen en grafieken.</t>
        </r>
      </text>
    </comment>
    <comment ref="E15" authorId="0">
      <text>
        <r>
          <rPr>
            <sz val="9"/>
            <rFont val="Tahoma"/>
            <family val="0"/>
          </rPr>
          <t>Indien gewenst kan hier een andere naam worden ingevuld. Deze wordt ook weergegeven bij de tabellen en grafieken.</t>
        </r>
      </text>
    </comment>
    <comment ref="E16" authorId="0">
      <text>
        <r>
          <rPr>
            <sz val="9"/>
            <rFont val="Tahoma"/>
            <family val="0"/>
          </rPr>
          <t>Indien gewenst kan hier een andere naam worden ingevuld. Deze wordt ook weergegeven bij de tabellen en grafieken.</t>
        </r>
      </text>
    </comment>
    <comment ref="E17" authorId="0">
      <text>
        <r>
          <rPr>
            <sz val="9"/>
            <rFont val="Tahoma"/>
            <family val="0"/>
          </rPr>
          <t>Indien gewenst kan hier een andere naam worden ingevuld. Deze wordt ook weergegeven bij de tabellen en grafieken.</t>
        </r>
      </text>
    </comment>
  </commentList>
</comments>
</file>

<file path=xl/comments10.xml><?xml version="1.0" encoding="utf-8"?>
<comments xmlns="http://schemas.openxmlformats.org/spreadsheetml/2006/main">
  <authors>
    <author>A satisfied Microsoft Office user</author>
    <author>IVM</author>
    <author>Michiel en Stephanie</author>
  </authors>
  <commentList>
    <comment ref="A6"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A7"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A8" authorId="0">
      <text>
        <r>
          <rPr>
            <sz val="9"/>
            <rFont val="Tahoma"/>
            <family val="0"/>
          </rPr>
          <t>Dit is de netto hoeveelheid grond die verloren gaat, ongeacht de hoeveelheid verontreiniging die erin zit.</t>
        </r>
      </text>
    </comment>
    <comment ref="A9" authorId="0">
      <text>
        <r>
          <rPr>
            <sz val="9"/>
            <rFont val="Tahoma"/>
            <family val="0"/>
          </rPr>
          <t>Dit is de netto hoeveelheid grondwater die voor de sanering verloren gaat ongeacht hoeveel verontreiniging daar in zit.</t>
        </r>
      </text>
    </comment>
    <comment ref="A10"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t>
        </r>
      </text>
    </comment>
    <comment ref="A11" authorId="0">
      <text>
        <r>
          <rPr>
            <sz val="9"/>
            <rFont val="Tahoma"/>
            <family val="0"/>
          </rPr>
          <t>Oppervlaktewater emissies worden genormeerd met de grenswaarde uit de evaluatienota water.</t>
        </r>
      </text>
    </comment>
    <comment ref="A12" authorId="0">
      <text>
        <r>
          <rPr>
            <sz val="9"/>
            <rFont val="Tahoma"/>
            <family val="0"/>
          </rPr>
          <t>Denk hierbij onder andere aan:
Afgevoerde grond
Afval grondreiniging
Actieve kool
Slib van waterzuivering</t>
        </r>
      </text>
    </comment>
    <comment ref="A13"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A22"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B23" authorId="0">
      <text>
        <r>
          <rPr>
            <sz val="9"/>
            <rFont val="Tahoma"/>
            <family val="0"/>
          </rPr>
          <t>streefwaarde</t>
        </r>
      </text>
    </comment>
    <comment ref="C23" authorId="0">
      <text>
        <r>
          <rPr>
            <sz val="9"/>
            <rFont val="Tahoma"/>
            <family val="0"/>
          </rPr>
          <t>interventiewaarde</t>
        </r>
      </text>
    </comment>
    <comment ref="E23" authorId="0">
      <text>
        <r>
          <rPr>
            <sz val="9"/>
            <rFont val="Tahoma"/>
            <family val="0"/>
          </rPr>
          <t>lutum</t>
        </r>
      </text>
    </comment>
    <comment ref="F23" authorId="0">
      <text>
        <r>
          <rPr>
            <sz val="9"/>
            <rFont val="Tahoma"/>
            <family val="0"/>
          </rPr>
          <t>Organisch stof- of humusgehalte; de waarden zijn automatisch gecorrigeerd want ze moeten tussen de 2% en 30% liggen; bij PAKs tussen 10% en 30%. Het organisch stofgehalte is gebruikt om de i- en de s-waarden te corrigeren.</t>
        </r>
      </text>
    </comment>
    <comment ref="G23" authorId="0">
      <text>
        <r>
          <rPr>
            <sz val="9"/>
            <rFont val="Tahoma"/>
            <family val="0"/>
          </rPr>
          <t xml:space="preserve">Score per stof. Een Kubel is een m3 die gedurende een jaar is verontreinigd met 1 maal de tussenwaarde van de betreffende stof.
500 kubel is dus 500m3 met 1 maal de tusenwaarde of 5 m3 met 100 maal de tussenwaarde.
</t>
        </r>
      </text>
    </comment>
    <comment ref="J23" authorId="0">
      <text>
        <r>
          <rPr>
            <sz val="9"/>
            <rFont val="Tahoma"/>
            <family val="0"/>
          </rPr>
          <t>score per component</t>
        </r>
      </text>
    </comment>
    <comment ref="A40"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B41" authorId="0">
      <text>
        <r>
          <rPr>
            <sz val="9"/>
            <rFont val="Tahoma"/>
            <family val="0"/>
          </rPr>
          <t>streefwaarde</t>
        </r>
      </text>
    </comment>
    <comment ref="C41" authorId="0">
      <text>
        <r>
          <rPr>
            <sz val="9"/>
            <rFont val="Tahoma"/>
            <family val="0"/>
          </rPr>
          <t>interventiewaarde</t>
        </r>
      </text>
    </comment>
    <comment ref="J41" authorId="0">
      <text>
        <r>
          <rPr>
            <sz val="9"/>
            <rFont val="Tahoma"/>
            <family val="0"/>
          </rPr>
          <t>grondwatervolume verontreinigd met deze component</t>
        </r>
      </text>
    </comment>
    <comment ref="A58" authorId="0">
      <text>
        <r>
          <rPr>
            <sz val="9"/>
            <rFont val="Tahoma"/>
            <family val="0"/>
          </rPr>
          <t>Dit is de netto hoeveelheid grond die verloren gaat, ongeacht de hoeveelheid verontreiniging die erin zit.</t>
        </r>
      </text>
    </comment>
    <comment ref="A59" authorId="0">
      <text>
        <r>
          <rPr>
            <sz val="9"/>
            <rFont val="Tahoma"/>
            <family val="0"/>
          </rPr>
          <t>hoeveelheid grond die van elders wordt aangewend</t>
        </r>
      </text>
    </comment>
    <comment ref="A60" authorId="0">
      <text>
        <r>
          <rPr>
            <sz val="9"/>
            <rFont val="Tahoma"/>
            <family val="0"/>
          </rPr>
          <t>hoeveelheid afgegraven grond die elders wordt hergebruikt</t>
        </r>
      </text>
    </comment>
    <comment ref="A66" authorId="0">
      <text>
        <r>
          <rPr>
            <sz val="9"/>
            <rFont val="Tahoma"/>
            <family val="0"/>
          </rPr>
          <t>Dit is de netto hoeveelheid grondwater die voor de sanering verloren gaat ongeacht hoeveel verontreiniging daar in zit.</t>
        </r>
      </text>
    </comment>
    <comment ref="A67" authorId="0">
      <text>
        <r>
          <rPr>
            <sz val="9"/>
            <rFont val="Tahoma"/>
            <family val="0"/>
          </rPr>
          <t>opgepompte hoeveelheid grondwater (al dan niet verontreinigd)</t>
        </r>
      </text>
    </comment>
    <comment ref="A68" authorId="0">
      <text>
        <r>
          <rPr>
            <sz val="9"/>
            <rFont val="Tahoma"/>
            <family val="0"/>
          </rPr>
          <t>Hoeveelheid opgepompt grondwater die na zuivering weer wordt teruggevoerd naar de grondwatervoorraad.</t>
        </r>
      </text>
    </comment>
    <comment ref="A74"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
Vul bij 12 en 13 andere energiegebruikende operaties in.</t>
        </r>
      </text>
    </comment>
    <comment ref="E75" authorId="0">
      <text>
        <r>
          <rPr>
            <sz val="9"/>
            <rFont val="Tahoma"/>
            <family val="0"/>
          </rPr>
          <t>Gegeven waarden zijn slechts defaults. Voor specifieke locaties kunnen ze worden vervangen door preciezere kentallen.</t>
        </r>
      </text>
    </comment>
    <comment ref="F75" authorId="0">
      <text>
        <r>
          <rPr>
            <sz val="9"/>
            <rFont val="Tahoma"/>
            <family val="0"/>
          </rPr>
          <t>Eenheid bedoeld in kolom direct links van deze. Bijvoorbeeld bij 1, is het dieselgebruik 35 MJ/ton afgegraven grond.</t>
        </r>
      </text>
    </comment>
    <comment ref="C77" authorId="0">
      <text>
        <r>
          <rPr>
            <sz val="9"/>
            <rFont val="Tahoma"/>
            <family val="0"/>
          </rPr>
          <t>Vul in hoeveel ton grond wordt afgegraven.</t>
        </r>
      </text>
    </comment>
    <comment ref="C78" authorId="0">
      <text>
        <r>
          <rPr>
            <sz val="9"/>
            <rFont val="Tahoma"/>
            <family val="0"/>
          </rPr>
          <t>Vul in hoeveel ton grond moet worden vervoerd</t>
        </r>
      </text>
    </comment>
    <comment ref="A79" authorId="0">
      <text>
        <r>
          <rPr>
            <sz val="9"/>
            <rFont val="Tahoma"/>
            <family val="0"/>
          </rPr>
          <t>enkele reis</t>
        </r>
      </text>
    </comment>
    <comment ref="C79" authorId="0">
      <text>
        <r>
          <rPr>
            <sz val="9"/>
            <rFont val="Tahoma"/>
            <family val="0"/>
          </rPr>
          <t>Vervoersafstand in km (enekele reis)</t>
        </r>
      </text>
    </comment>
    <comment ref="C80" authorId="0">
      <text>
        <r>
          <rPr>
            <sz val="9"/>
            <rFont val="Tahoma"/>
            <family val="0"/>
          </rPr>
          <t>Vul in hoeveel ton grond moet worden aangevoerd.</t>
        </r>
      </text>
    </comment>
    <comment ref="A81" authorId="0">
      <text>
        <r>
          <rPr>
            <sz val="9"/>
            <rFont val="Tahoma"/>
            <family val="0"/>
          </rPr>
          <t>enkele reis</t>
        </r>
      </text>
    </comment>
    <comment ref="C81" authorId="0">
      <text>
        <r>
          <rPr>
            <sz val="9"/>
            <rFont val="Tahoma"/>
            <family val="0"/>
          </rPr>
          <t>Vervoersafstand in km, enkele reis.</t>
        </r>
      </text>
    </comment>
    <comment ref="D82" authorId="0">
      <text>
        <r>
          <rPr>
            <sz val="9"/>
            <rFont val="Tahoma"/>
            <family val="0"/>
          </rPr>
          <t>Vul in hoeveel ton grond moet worden gereinigd.</t>
        </r>
      </text>
    </comment>
    <comment ref="D83" authorId="0">
      <text>
        <r>
          <rPr>
            <sz val="9"/>
            <rFont val="Tahoma"/>
            <family val="0"/>
          </rPr>
          <t>Vul in hoeveel ton grond moet worden gereinigd.</t>
        </r>
      </text>
    </comment>
    <comment ref="D84" authorId="0">
      <text>
        <r>
          <rPr>
            <sz val="9"/>
            <rFont val="Tahoma"/>
            <family val="0"/>
          </rPr>
          <t>Vul in hoeveel ton grond moet worden gereinigd.</t>
        </r>
      </text>
    </comment>
    <comment ref="D85" authorId="0">
      <text>
        <r>
          <rPr>
            <sz val="9"/>
            <rFont val="Tahoma"/>
            <family val="0"/>
          </rPr>
          <t>Vul in hoeveel ton grond moet worden gereinigd.</t>
        </r>
      </text>
    </comment>
    <comment ref="E85" authorId="0">
      <text>
        <r>
          <rPr>
            <sz val="9"/>
            <rFont val="Tahoma"/>
            <family val="0"/>
          </rPr>
          <t>Energiegebruik in MJ per ton grond.</t>
        </r>
      </text>
    </comment>
    <comment ref="D86" authorId="0">
      <text>
        <r>
          <rPr>
            <sz val="9"/>
            <rFont val="Tahoma"/>
            <family val="0"/>
          </rPr>
          <t>Vul in hoeveel m3 er moet worden opgepompt.</t>
        </r>
      </text>
    </comment>
    <comment ref="A87" authorId="0">
      <text>
        <r>
          <rPr>
            <sz val="9"/>
            <rFont val="Tahoma"/>
            <family val="0"/>
          </rPr>
          <t>indien niets wordt ingevuld is de voorkeurswaarde 2m</t>
        </r>
      </text>
    </comment>
    <comment ref="C88" authorId="0">
      <text>
        <r>
          <rPr>
            <sz val="9"/>
            <rFont val="Tahoma"/>
            <family val="0"/>
          </rPr>
          <t>Vul in hoeveel m3 er moet worden opgepompt.</t>
        </r>
      </text>
    </comment>
    <comment ref="E88" authorId="0">
      <text>
        <r>
          <rPr>
            <sz val="9"/>
            <rFont val="Tahoma"/>
            <family val="0"/>
          </rPr>
          <t>indien niets wordt ingevuld is de voorkeurswaarde 0.02</t>
        </r>
      </text>
    </comment>
    <comment ref="A89" authorId="0">
      <text>
        <r>
          <rPr>
            <sz val="9"/>
            <rFont val="Tahoma"/>
            <family val="0"/>
          </rPr>
          <t>indien niets wordt ingevuld is de voorkeurswaarde 2m</t>
        </r>
      </text>
    </comment>
    <comment ref="D90" authorId="0">
      <text>
        <r>
          <rPr>
            <sz val="9"/>
            <rFont val="Tahoma"/>
            <family val="0"/>
          </rPr>
          <t>Vul in hoeveel m3 water er moet worden gereinigd.</t>
        </r>
      </text>
    </comment>
    <comment ref="A91" authorId="0">
      <text>
        <r>
          <rPr>
            <sz val="9"/>
            <rFont val="Tahoma"/>
            <family val="0"/>
          </rPr>
          <t>rioolwaterzuiveringsinstallatie</t>
        </r>
      </text>
    </comment>
    <comment ref="D91" authorId="0">
      <text>
        <r>
          <rPr>
            <sz val="9"/>
            <rFont val="Tahoma"/>
            <family val="0"/>
          </rPr>
          <t>Vul in hoeveel m3 water er naar de rioolwaterzuiveringsinstallatie moet worden afgevoerd.</t>
        </r>
      </text>
    </comment>
    <comment ref="A93" authorId="0">
      <text>
        <r>
          <rPr>
            <sz val="9"/>
            <rFont val="Tahoma"/>
            <family val="0"/>
          </rPr>
          <t>Vul hier het dieselgebruik van andere operaties die (fors) energie gebruiken.</t>
        </r>
      </text>
    </comment>
    <comment ref="C93" authorId="0">
      <text>
        <r>
          <rPr>
            <sz val="9"/>
            <rFont val="Tahoma"/>
            <family val="0"/>
          </rPr>
          <t>Vul in hoeveel tonnen diesel nodig is voor andere processen.</t>
        </r>
      </text>
    </comment>
    <comment ref="A94" authorId="0">
      <text>
        <r>
          <rPr>
            <sz val="9"/>
            <rFont val="Tahoma"/>
            <family val="0"/>
          </rPr>
          <t>Vul hier het elektriciteitsgebruik van andere operaties die (fors) energie gebruiken. Eenheid is MJ! 1 kWh komt overeen met 3.6 MJ.</t>
        </r>
      </text>
    </comment>
    <comment ref="D94" authorId="0">
      <text>
        <r>
          <rPr>
            <sz val="9"/>
            <rFont val="Tahoma"/>
            <family val="0"/>
          </rPr>
          <t>Vul hier het elektriciteitsgebruik van andere processen in MJ. 1 kWh komt overeen met 3.6 MJ.</t>
        </r>
      </text>
    </comment>
    <comment ref="A103" authorId="0">
      <text>
        <r>
          <rPr>
            <sz val="9"/>
            <rFont val="Tahoma"/>
            <family val="0"/>
          </rPr>
          <t>Oppervlaktewater emissies worden genormeerd met de grenswaarde uit de evaluatienota water. Als deze niet bekend zijn verschijnt er 'NB' in het venster.</t>
        </r>
      </text>
    </comment>
    <comment ref="B104" authorId="0">
      <text>
        <r>
          <rPr>
            <sz val="9"/>
            <rFont val="Tahoma"/>
            <family val="0"/>
          </rPr>
          <t>grenswaarde in microgram/l</t>
        </r>
      </text>
    </comment>
    <comment ref="C104" authorId="0">
      <text>
        <r>
          <rPr>
            <sz val="9"/>
            <rFont val="Tahoma"/>
            <family val="0"/>
          </rPr>
          <t>concentratie in microgram/liter</t>
        </r>
      </text>
    </comment>
    <comment ref="D104" authorId="0">
      <text>
        <r>
          <rPr>
            <sz val="9"/>
            <rFont val="Tahoma"/>
            <family val="0"/>
          </rPr>
          <t>volume emissie in m3</t>
        </r>
      </text>
    </comment>
    <comment ref="B105" authorId="0">
      <text>
        <r>
          <rPr>
            <sz val="9"/>
            <rFont val="Tahoma"/>
            <family val="0"/>
          </rPr>
          <t>Waarde wordt opgehaald uit werkblad 'Normen' (druk eventueel op F9). 'NB' betekent Niet Bekend - vul dan een waarde in die apart is vastgesteld of die is afgeleid van de norm voor grondwater.</t>
        </r>
      </text>
    </comment>
    <comment ref="A121" authorId="0">
      <text>
        <r>
          <rPr>
            <sz val="9"/>
            <rFont val="Tahoma"/>
            <family val="0"/>
          </rPr>
          <t xml:space="preserve">Denk hierbij onder andere aan:
Afgevoerde grond
Afval grondreiniging
Actieve kool
Slib van waterzuivering
</t>
        </r>
      </text>
    </comment>
    <comment ref="A131"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B132" authorId="0">
      <text>
        <r>
          <rPr>
            <sz val="9"/>
            <rFont val="Tahoma"/>
            <family val="0"/>
          </rPr>
          <t>Indien gewenst kan onderscheid gemaakt worden tussen verschillende fases in het project, bijvoorbeeld afgraving en grondwatersanering. De waarden worden gewoon opgeteld.</t>
        </r>
      </text>
    </comment>
    <comment ref="C98" authorId="1">
      <text>
        <r>
          <rPr>
            <sz val="9"/>
            <rFont val="Tahoma"/>
            <family val="2"/>
          </rPr>
          <t>Gemiddeld energiegebruik per inwoner in Nederland in 1997 was ongeveer 200 GJ</t>
        </r>
        <r>
          <rPr>
            <sz val="9"/>
            <rFont val="Tahoma"/>
            <family val="0"/>
          </rPr>
          <t xml:space="preserve">
</t>
        </r>
      </text>
    </comment>
    <comment ref="C99" authorId="1">
      <text>
        <r>
          <rPr>
            <sz val="9"/>
            <rFont val="Tahoma"/>
            <family val="2"/>
          </rPr>
          <t>Emissies CO2, SO2 en NOx berekend met standaard LCA-omrekenfactoren en gerelateerd aan emissies per capita. Wegen elk even zwaar.</t>
        </r>
      </text>
    </comment>
    <comment ref="E41" authorId="1">
      <text>
        <r>
          <rPr>
            <sz val="9"/>
            <rFont val="Tahoma"/>
            <family val="2"/>
          </rPr>
          <t xml:space="preserve">Score per stof. Een Kubel is een m3 die gedurende een jaar is verontreinigd met 1 maal de tussenwaarde van de betreffende stof.
500 kubel is dus 500m3 met 1 maal de tusenwaarde of 5 m3 met 100 maal de tussenwaarde.
</t>
        </r>
      </text>
    </comment>
    <comment ref="E104" authorId="1">
      <text>
        <r>
          <rPr>
            <sz val="9"/>
            <rFont val="Tahoma"/>
            <family val="2"/>
          </rPr>
          <t xml:space="preserve">Score per stof. Een Kubel is een m3 die is verontreinigd met 1 maal de tussenwaarde van de betreffende stof.
500 kubel is dus 500m3 met 1 maal de tusenwaarde of 5 m3 met 100 maal de tussenwaarde.
</t>
        </r>
      </text>
    </comment>
    <comment ref="D23"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D41"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H23" authorId="1">
      <text>
        <r>
          <rPr>
            <sz val="9"/>
            <rFont val="Tahoma"/>
            <family val="2"/>
          </rPr>
          <t>Aaname is dat de bodemdichtheid 1700 kg/m3  bedraagt.
De vracht dient slechts ter controle en wordt verder niet gebruikt in de berekeningen.</t>
        </r>
      </text>
    </comment>
    <comment ref="A23" authorId="2">
      <text>
        <r>
          <rPr>
            <sz val="10"/>
            <rFont val="Tahoma"/>
            <family val="2"/>
          </rPr>
          <t>De stoffen worden gekopieerd uit het werkblad 'Huidig'. Vul dit werkblad dus eerst in.</t>
        </r>
      </text>
    </comment>
  </commentList>
</comments>
</file>

<file path=xl/comments11.xml><?xml version="1.0" encoding="utf-8"?>
<comments xmlns="http://schemas.openxmlformats.org/spreadsheetml/2006/main">
  <authors>
    <author>IVM</author>
    <author>Michiel en Stephanie</author>
  </authors>
  <commentList>
    <comment ref="C4" authorId="0">
      <text>
        <r>
          <rPr>
            <sz val="9"/>
            <rFont val="Tahoma"/>
            <family val="2"/>
          </rPr>
          <t>Deze waarde transporteren naar het werkblad met de betreffende variant. (tip gebruik paste special / value)
Let op: hoe lager deze waarde (minder resterende vracht!), hoe hoger de Milieuverdienste zal worden.</t>
        </r>
      </text>
    </comment>
    <comment ref="C6" authorId="1">
      <text>
        <r>
          <rPr>
            <sz val="10"/>
            <rFont val="Tahoma"/>
            <family val="2"/>
          </rPr>
          <t xml:space="preserve">Moet groter dan 0.5 zijn en uiteraard kleiner dan 30 jaar.
</t>
        </r>
      </text>
    </comment>
    <comment ref="H6" authorId="1">
      <text>
        <r>
          <rPr>
            <sz val="10"/>
            <rFont val="Tahoma"/>
            <family val="2"/>
          </rPr>
          <t xml:space="preserve">Moet groter dan 0.5 zijn en uiteraard kleiner dan 30 jaar.
</t>
        </r>
      </text>
    </comment>
    <comment ref="B2" authorId="1">
      <text>
        <r>
          <rPr>
            <sz val="10"/>
            <rFont val="Tahoma"/>
            <family val="2"/>
          </rPr>
          <t>Deze namen worden opgehaald uit het werkblad 'huidig'.</t>
        </r>
      </text>
    </comment>
    <comment ref="G2" authorId="1">
      <text>
        <r>
          <rPr>
            <sz val="10"/>
            <rFont val="Tahoma"/>
            <family val="2"/>
          </rPr>
          <t>Deze namen worden opgehaald uit het werkblad 'huidig'.</t>
        </r>
      </text>
    </comment>
    <comment ref="H4" authorId="0">
      <text>
        <r>
          <rPr>
            <sz val="9"/>
            <rFont val="Tahoma"/>
            <family val="2"/>
          </rPr>
          <t>Deze waarde transporteren naar het werkblad met de betreffende variant. (tip gebruik paste special / value)
Let op: hoe lager deze waarde (minder resterende vracht!), hoe hoger de Milieuverdienste zal worden.</t>
        </r>
      </text>
    </comment>
  </commentList>
</comments>
</file>

<file path=xl/comments13.xml><?xml version="1.0" encoding="utf-8"?>
<comments xmlns="http://schemas.openxmlformats.org/spreadsheetml/2006/main">
  <authors>
    <author>IVM</author>
  </authors>
  <commentList>
    <comment ref="B14" authorId="0">
      <text>
        <r>
          <rPr>
            <sz val="9"/>
            <rFont val="Tahoma"/>
            <family val="0"/>
          </rPr>
          <t>De referentie is het de waarde waarmee de scores worden genormeerd, alvorens ze te vermenigvuldigen met het gewicht.
De referntiewaarden zijn onlosmakelijk met de gewichten verbonden.</t>
        </r>
      </text>
    </comment>
  </commentList>
</comments>
</file>

<file path=xl/comments14.xml><?xml version="1.0" encoding="utf-8"?>
<comments xmlns="http://schemas.openxmlformats.org/spreadsheetml/2006/main">
  <authors>
    <author>IVM</author>
  </authors>
  <commentList>
    <comment ref="B14" authorId="0">
      <text>
        <r>
          <rPr>
            <sz val="9"/>
            <rFont val="Tahoma"/>
            <family val="0"/>
          </rPr>
          <t>De referentie is het de waarde waarmee de scores worden genormeerd, alvorens ze te vermenigvuldigen met het gewicht.
De referntiewaarden zijn onlosmakelijk met de gewichten verbonden.</t>
        </r>
      </text>
    </comment>
  </commentList>
</comments>
</file>

<file path=xl/comments15.xml><?xml version="1.0" encoding="utf-8"?>
<comments xmlns="http://schemas.openxmlformats.org/spreadsheetml/2006/main">
  <authors>
    <author>IVM</author>
  </authors>
  <commentList>
    <comment ref="A11" authorId="0">
      <text>
        <r>
          <rPr>
            <sz val="9"/>
            <rFont val="Tahoma"/>
            <family val="2"/>
          </rPr>
          <t>Het ingevulde percentage geeft de laagste en de hoogste waarde weer in een drihoeksverdeling. De waarde 10% geeft betekent dus dat alle waarden in een driehoeksverdeling tussen 90% en 110% van de berekende score zullen liggen.</t>
        </r>
      </text>
    </comment>
  </commentList>
</comments>
</file>

<file path=xl/comments16.xml><?xml version="1.0" encoding="utf-8"?>
<comments xmlns="http://schemas.openxmlformats.org/spreadsheetml/2006/main">
  <authors>
    <author>A satisfied Microsoft Office user</author>
    <author>IVM</author>
    <author>Michiel en Stephanie</author>
  </authors>
  <commentList>
    <comment ref="A6"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A7"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A8" authorId="0">
      <text>
        <r>
          <rPr>
            <sz val="9"/>
            <rFont val="Tahoma"/>
            <family val="0"/>
          </rPr>
          <t>Dit is de netto hoeveelheid grond die verloren gaat, ongeacht de hoeveelheid verontreiniging die erin zit.</t>
        </r>
      </text>
    </comment>
    <comment ref="A9" authorId="0">
      <text>
        <r>
          <rPr>
            <sz val="9"/>
            <rFont val="Tahoma"/>
            <family val="0"/>
          </rPr>
          <t>Dit is de netto hoeveelheid grondwater die voor de sanering verloren gaat ongeacht hoeveel verontreiniging daar in zit.</t>
        </r>
      </text>
    </comment>
    <comment ref="A10"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t>
        </r>
      </text>
    </comment>
    <comment ref="A11" authorId="0">
      <text>
        <r>
          <rPr>
            <sz val="9"/>
            <rFont val="Tahoma"/>
            <family val="0"/>
          </rPr>
          <t>Oppervlaktewater emissies worden genormeerd met de grenswaarde uit de evaluatienota water.</t>
        </r>
      </text>
    </comment>
    <comment ref="A12" authorId="0">
      <text>
        <r>
          <rPr>
            <sz val="9"/>
            <rFont val="Tahoma"/>
            <family val="0"/>
          </rPr>
          <t>Denk hierbij onder andere aan:
Afgevoerde grond
Afval grondreiniging
Actieve kool
Slib van waterzuivering</t>
        </r>
      </text>
    </comment>
    <comment ref="A13"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A22"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B23" authorId="0">
      <text>
        <r>
          <rPr>
            <sz val="9"/>
            <rFont val="Tahoma"/>
            <family val="0"/>
          </rPr>
          <t>streefwaarde</t>
        </r>
      </text>
    </comment>
    <comment ref="C23" authorId="0">
      <text>
        <r>
          <rPr>
            <sz val="9"/>
            <rFont val="Tahoma"/>
            <family val="0"/>
          </rPr>
          <t>interventiewaarde</t>
        </r>
      </text>
    </comment>
    <comment ref="E23" authorId="0">
      <text>
        <r>
          <rPr>
            <sz val="9"/>
            <rFont val="Tahoma"/>
            <family val="0"/>
          </rPr>
          <t>lutum</t>
        </r>
      </text>
    </comment>
    <comment ref="F23" authorId="0">
      <text>
        <r>
          <rPr>
            <sz val="9"/>
            <rFont val="Tahoma"/>
            <family val="0"/>
          </rPr>
          <t>Organisch stof- of humusgehalte; de waarden zijn automatisch gecorrigeerd want ze moeten tussen de 2% en 30% liggen; bij PAKs tussen 10% en 30%. Het organisch stofgehalte is gebruikt om de i- en de s-waarden te corrigeren.</t>
        </r>
      </text>
    </comment>
    <comment ref="G23" authorId="0">
      <text>
        <r>
          <rPr>
            <sz val="9"/>
            <rFont val="Tahoma"/>
            <family val="0"/>
          </rPr>
          <t xml:space="preserve">Score per stof. Een Kubel is een m3 die is verontreinigd met 1 maal de tussenwaarde van de betreffende stof.
500 kubel is dus 500m3 met 1 maal de tusenwaarde of 5 m3 met 100 maal de tussenwaarde.
De waarde wordt door de tijdperiode geddeld (30 jaar) - zodat een gemiddelde resterende vracht per jaar wordt bepaald gedurende die periode. 
</t>
        </r>
      </text>
    </comment>
    <comment ref="J23" authorId="0">
      <text>
        <r>
          <rPr>
            <sz val="9"/>
            <rFont val="Tahoma"/>
            <family val="0"/>
          </rPr>
          <t>score per component</t>
        </r>
      </text>
    </comment>
    <comment ref="A40"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B41" authorId="0">
      <text>
        <r>
          <rPr>
            <sz val="9"/>
            <rFont val="Tahoma"/>
            <family val="0"/>
          </rPr>
          <t>streefwaarde</t>
        </r>
      </text>
    </comment>
    <comment ref="C41" authorId="0">
      <text>
        <r>
          <rPr>
            <sz val="9"/>
            <rFont val="Tahoma"/>
            <family val="0"/>
          </rPr>
          <t>interventiewaarde</t>
        </r>
      </text>
    </comment>
    <comment ref="J41" authorId="0">
      <text>
        <r>
          <rPr>
            <sz val="9"/>
            <rFont val="Tahoma"/>
            <family val="0"/>
          </rPr>
          <t>grondwatervolume verontreinigd met deze component</t>
        </r>
      </text>
    </comment>
    <comment ref="A58" authorId="0">
      <text>
        <r>
          <rPr>
            <sz val="9"/>
            <rFont val="Tahoma"/>
            <family val="0"/>
          </rPr>
          <t>Dit is de netto hoeveelheid grond die verloren gaat, ongeacht de hoeveelheid verontreiniging die erin zit.</t>
        </r>
      </text>
    </comment>
    <comment ref="A59" authorId="0">
      <text>
        <r>
          <rPr>
            <sz val="9"/>
            <rFont val="Tahoma"/>
            <family val="0"/>
          </rPr>
          <t>hoeveelheid grond die van elders wordt aangewend</t>
        </r>
      </text>
    </comment>
    <comment ref="A60" authorId="0">
      <text>
        <r>
          <rPr>
            <sz val="9"/>
            <rFont val="Tahoma"/>
            <family val="0"/>
          </rPr>
          <t>hoeveelheid afgegraven grond die elders wordt hergebruikt</t>
        </r>
      </text>
    </comment>
    <comment ref="A66" authorId="0">
      <text>
        <r>
          <rPr>
            <sz val="9"/>
            <rFont val="Tahoma"/>
            <family val="0"/>
          </rPr>
          <t>Dit is de netto hoeveelheid grondwater die voor de sanering verloren gaat ongeacht hoeveel verontreiniging daar in zit.</t>
        </r>
      </text>
    </comment>
    <comment ref="A67" authorId="0">
      <text>
        <r>
          <rPr>
            <sz val="9"/>
            <rFont val="Tahoma"/>
            <family val="0"/>
          </rPr>
          <t>opgepompte hoeveelheid grondwater (al dan niet verontreinigd)</t>
        </r>
      </text>
    </comment>
    <comment ref="A68" authorId="0">
      <text>
        <r>
          <rPr>
            <sz val="9"/>
            <rFont val="Tahoma"/>
            <family val="0"/>
          </rPr>
          <t>Hoeveelheid opgepompt grondwater die na zuivering weer wordt teruggevoerd naar de grondwatervoorraad.</t>
        </r>
      </text>
    </comment>
    <comment ref="A74"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
Vul bij 12 en 13 andere energiegebruikende operaties in.</t>
        </r>
      </text>
    </comment>
    <comment ref="E75" authorId="0">
      <text>
        <r>
          <rPr>
            <sz val="9"/>
            <rFont val="Tahoma"/>
            <family val="0"/>
          </rPr>
          <t>Gegeven waarden zijn slechts defaults. Voor specifieke locaties kunnen ze worden vervangen door preciezere kentallen.</t>
        </r>
      </text>
    </comment>
    <comment ref="F75" authorId="0">
      <text>
        <r>
          <rPr>
            <sz val="9"/>
            <rFont val="Tahoma"/>
            <family val="0"/>
          </rPr>
          <t>Eenheid bedoeld in kolom direct links van deze. Bijvoorbeeld bij 1, is het dieselgebruik 35 MJ/ton afgegraven grond.</t>
        </r>
      </text>
    </comment>
    <comment ref="C77" authorId="0">
      <text>
        <r>
          <rPr>
            <sz val="9"/>
            <rFont val="Tahoma"/>
            <family val="0"/>
          </rPr>
          <t>Vul in hoeveel ton grond wordt afgegraven.</t>
        </r>
      </text>
    </comment>
    <comment ref="C78" authorId="0">
      <text>
        <r>
          <rPr>
            <sz val="9"/>
            <rFont val="Tahoma"/>
            <family val="0"/>
          </rPr>
          <t>Vul in hoeveel ton grond moet worden vervoerd</t>
        </r>
      </text>
    </comment>
    <comment ref="A79" authorId="0">
      <text>
        <r>
          <rPr>
            <sz val="9"/>
            <rFont val="Tahoma"/>
            <family val="0"/>
          </rPr>
          <t>enkele reis</t>
        </r>
      </text>
    </comment>
    <comment ref="C79" authorId="0">
      <text>
        <r>
          <rPr>
            <sz val="9"/>
            <rFont val="Tahoma"/>
            <family val="0"/>
          </rPr>
          <t>Vervoersafstand in km (enekele reis)</t>
        </r>
      </text>
    </comment>
    <comment ref="C80" authorId="0">
      <text>
        <r>
          <rPr>
            <sz val="9"/>
            <rFont val="Tahoma"/>
            <family val="0"/>
          </rPr>
          <t>Vul in hoeveel ton grond moet worden aangevoerd.</t>
        </r>
      </text>
    </comment>
    <comment ref="A81" authorId="0">
      <text>
        <r>
          <rPr>
            <sz val="9"/>
            <rFont val="Tahoma"/>
            <family val="0"/>
          </rPr>
          <t>enkele reis</t>
        </r>
      </text>
    </comment>
    <comment ref="C81" authorId="0">
      <text>
        <r>
          <rPr>
            <sz val="9"/>
            <rFont val="Tahoma"/>
            <family val="0"/>
          </rPr>
          <t>Vervoersafstand in km, enkele reis.</t>
        </r>
      </text>
    </comment>
    <comment ref="D82" authorId="0">
      <text>
        <r>
          <rPr>
            <sz val="9"/>
            <rFont val="Tahoma"/>
            <family val="0"/>
          </rPr>
          <t>Vul in hoeveel ton grond moet worden gereinigd.</t>
        </r>
      </text>
    </comment>
    <comment ref="D83" authorId="0">
      <text>
        <r>
          <rPr>
            <sz val="9"/>
            <rFont val="Tahoma"/>
            <family val="0"/>
          </rPr>
          <t>Vul in hoeveel ton grond moet worden gereinigd.</t>
        </r>
      </text>
    </comment>
    <comment ref="D84" authorId="0">
      <text>
        <r>
          <rPr>
            <sz val="9"/>
            <rFont val="Tahoma"/>
            <family val="0"/>
          </rPr>
          <t>Vul in hoeveel ton grond moet worden gereinigd.</t>
        </r>
      </text>
    </comment>
    <comment ref="D85" authorId="0">
      <text>
        <r>
          <rPr>
            <sz val="9"/>
            <rFont val="Tahoma"/>
            <family val="0"/>
          </rPr>
          <t>Vul in hoeveel ton grond moet worden gereinigd.</t>
        </r>
      </text>
    </comment>
    <comment ref="E85" authorId="0">
      <text>
        <r>
          <rPr>
            <sz val="9"/>
            <rFont val="Tahoma"/>
            <family val="0"/>
          </rPr>
          <t>Energiegebruik in MJ per ton grond.</t>
        </r>
      </text>
    </comment>
    <comment ref="D86" authorId="0">
      <text>
        <r>
          <rPr>
            <sz val="9"/>
            <rFont val="Tahoma"/>
            <family val="0"/>
          </rPr>
          <t>Vul in hoeveel m3 er moet worden opgepompt.</t>
        </r>
      </text>
    </comment>
    <comment ref="A87" authorId="0">
      <text>
        <r>
          <rPr>
            <sz val="9"/>
            <rFont val="Tahoma"/>
            <family val="0"/>
          </rPr>
          <t>indien niets wordt ingevuld is de voorkeurswaarde 2m</t>
        </r>
      </text>
    </comment>
    <comment ref="C88" authorId="0">
      <text>
        <r>
          <rPr>
            <sz val="9"/>
            <rFont val="Tahoma"/>
            <family val="0"/>
          </rPr>
          <t>Vul in hoeveel m3 er moet worden opgepompt.</t>
        </r>
      </text>
    </comment>
    <comment ref="E88" authorId="0">
      <text>
        <r>
          <rPr>
            <sz val="9"/>
            <rFont val="Tahoma"/>
            <family val="0"/>
          </rPr>
          <t>indien niets wordt ingevuld is de voorkeurswaarde 0.02</t>
        </r>
      </text>
    </comment>
    <comment ref="A89" authorId="0">
      <text>
        <r>
          <rPr>
            <sz val="9"/>
            <rFont val="Tahoma"/>
            <family val="0"/>
          </rPr>
          <t>indien niets wordt ingevuld is de voorkeurswaarde 2m</t>
        </r>
      </text>
    </comment>
    <comment ref="D90" authorId="0">
      <text>
        <r>
          <rPr>
            <sz val="9"/>
            <rFont val="Tahoma"/>
            <family val="0"/>
          </rPr>
          <t>Vul in hoeveel m3 water er moet worden gereinigd.</t>
        </r>
      </text>
    </comment>
    <comment ref="A91" authorId="0">
      <text>
        <r>
          <rPr>
            <sz val="9"/>
            <rFont val="Tahoma"/>
            <family val="0"/>
          </rPr>
          <t>rioolwaterzuiveringsinstallatie</t>
        </r>
      </text>
    </comment>
    <comment ref="D91" authorId="0">
      <text>
        <r>
          <rPr>
            <sz val="9"/>
            <rFont val="Tahoma"/>
            <family val="0"/>
          </rPr>
          <t>Vul in hoeveel m3 water er naar de rioolwaterzuiveringsinstallatie moet worden afgevoerd.</t>
        </r>
      </text>
    </comment>
    <comment ref="A93" authorId="0">
      <text>
        <r>
          <rPr>
            <sz val="9"/>
            <rFont val="Tahoma"/>
            <family val="0"/>
          </rPr>
          <t>Vul hier het dieselgebruik van andere operaties die (fors) energie gebruiken.</t>
        </r>
      </text>
    </comment>
    <comment ref="C93" authorId="0">
      <text>
        <r>
          <rPr>
            <sz val="9"/>
            <rFont val="Tahoma"/>
            <family val="0"/>
          </rPr>
          <t>Vul in hoeveel tonnen diesel nodig is voor andere processen.</t>
        </r>
      </text>
    </comment>
    <comment ref="A94" authorId="0">
      <text>
        <r>
          <rPr>
            <sz val="9"/>
            <rFont val="Tahoma"/>
            <family val="0"/>
          </rPr>
          <t>Vul hier het elektriciteitsgebruik van andere operaties die (fors) energie gebruiken. Eenheid is MJ! 1 kWh komt overeen met 3.6 MJ.</t>
        </r>
      </text>
    </comment>
    <comment ref="D94" authorId="0">
      <text>
        <r>
          <rPr>
            <sz val="9"/>
            <rFont val="Tahoma"/>
            <family val="0"/>
          </rPr>
          <t>Vul hier het elektriciteitsgebruik van andere processen in MJ. 1 kWh komt overeen met 3.6 MJ.</t>
        </r>
      </text>
    </comment>
    <comment ref="A103" authorId="0">
      <text>
        <r>
          <rPr>
            <sz val="9"/>
            <rFont val="Tahoma"/>
            <family val="0"/>
          </rPr>
          <t>Oppervlaktewater emissies worden genormeerd met de grenswaarde uit de evaluatienota water. Als deze niet bekend zijn verschijnt er 'NB' in het venster.</t>
        </r>
      </text>
    </comment>
    <comment ref="B104" authorId="0">
      <text>
        <r>
          <rPr>
            <sz val="9"/>
            <rFont val="Tahoma"/>
            <family val="0"/>
          </rPr>
          <t>grenswaarde in microgram/l</t>
        </r>
      </text>
    </comment>
    <comment ref="C104" authorId="0">
      <text>
        <r>
          <rPr>
            <sz val="9"/>
            <rFont val="Tahoma"/>
            <family val="0"/>
          </rPr>
          <t>concentratie in microgram/liter</t>
        </r>
      </text>
    </comment>
    <comment ref="D104" authorId="0">
      <text>
        <r>
          <rPr>
            <sz val="9"/>
            <rFont val="Tahoma"/>
            <family val="0"/>
          </rPr>
          <t>volume emissie in m3</t>
        </r>
      </text>
    </comment>
    <comment ref="B105" authorId="0">
      <text>
        <r>
          <rPr>
            <sz val="9"/>
            <rFont val="Tahoma"/>
            <family val="0"/>
          </rPr>
          <t>Waarde wordt opgehaald uit werkblad 'Normen' (druk eventueel op F9). 'NB' betekent Niet Bekend - vul dan een waarde in die apart is vastgesteld of die is afgeleid van de norm voor grondwater.</t>
        </r>
      </text>
    </comment>
    <comment ref="A121" authorId="0">
      <text>
        <r>
          <rPr>
            <sz val="9"/>
            <rFont val="Tahoma"/>
            <family val="0"/>
          </rPr>
          <t xml:space="preserve">Denk hierbij onder andere aan:
Afgevoerde grond
Afval grondreiniging
Actieve kool
Slib van waterzuivering
</t>
        </r>
      </text>
    </comment>
    <comment ref="A131"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B132" authorId="0">
      <text>
        <r>
          <rPr>
            <sz val="9"/>
            <rFont val="Tahoma"/>
            <family val="0"/>
          </rPr>
          <t>Indien gewenst kan onderscheid gemaakt worden tussen verschillende fases in het project, bijvoorbeeld afgraving en grondwatersanering. De waarden worden gewoon opgeteld.</t>
        </r>
      </text>
    </comment>
    <comment ref="C98" authorId="1">
      <text>
        <r>
          <rPr>
            <sz val="9"/>
            <rFont val="Tahoma"/>
            <family val="2"/>
          </rPr>
          <t>Gemiddeld energiegebruik per inwoner in Nederland in 1997 was ongeveer 200 GJ</t>
        </r>
        <r>
          <rPr>
            <sz val="9"/>
            <rFont val="Tahoma"/>
            <family val="0"/>
          </rPr>
          <t xml:space="preserve">
</t>
        </r>
      </text>
    </comment>
    <comment ref="C99" authorId="1">
      <text>
        <r>
          <rPr>
            <sz val="9"/>
            <rFont val="Tahoma"/>
            <family val="2"/>
          </rPr>
          <t>Emissies CO2, SO2 en NOx berekend met standaard LCA-omrekenfactoren en gerelateerd aan emissies per capita. Wegen elk even zwaar.</t>
        </r>
      </text>
    </comment>
    <comment ref="E41" authorId="1">
      <text>
        <r>
          <rPr>
            <sz val="9"/>
            <rFont val="Tahoma"/>
            <family val="2"/>
          </rPr>
          <t xml:space="preserve">Score per stof. Een Kubel is een m3 die is verontreinigd met 1 maal de tussenwaarde van de betreffende stof.
500 kubel is dus 500m3 met 1 maal de tusenwaarde of 5 m3 met 100 maal de tussenwaarde.
De waarde wordt door de tijdperiode geddeld (30 jaar) - zodat een gemiddelde resterende vracht per jaar wordt bepaald gedurende die periode. </t>
        </r>
      </text>
    </comment>
    <comment ref="E104" authorId="1">
      <text>
        <r>
          <rPr>
            <sz val="9"/>
            <rFont val="Tahoma"/>
            <family val="2"/>
          </rPr>
          <t xml:space="preserve">Score per stof. Een Kubel is een m3 die is verontreinigd met 1 maal de tussenwaarde van de betreffende stof.
500 kubel is dus 500m3 met 1 maal de tusenwaarde of 5 m3 met 100 maal de tussenwaarde.
</t>
        </r>
      </text>
    </comment>
    <comment ref="D23"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D41"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List>
</comments>
</file>

<file path=xl/comments17.xml><?xml version="1.0" encoding="utf-8"?>
<comments xmlns="http://schemas.openxmlformats.org/spreadsheetml/2006/main">
  <authors>
    <author>A satisfied Microsoft Office user</author>
  </authors>
  <commentList>
    <comment ref="K9" authorId="0">
      <text>
        <r>
          <rPr>
            <sz val="9"/>
            <rFont val="Tahoma"/>
            <family val="0"/>
          </rPr>
          <t>Stofafhankelijke constanten voor metalen; Worden gebruikt om i- en s-waarden te bepalen als functie van lutum en organisch-stofgehalte.</t>
        </r>
      </text>
    </comment>
    <comment ref="A64" authorId="0">
      <text>
        <r>
          <rPr>
            <sz val="9"/>
            <rFont val="Tahoma"/>
            <family val="0"/>
          </rPr>
          <t>voor grondwater zijn de waarden van de mediaan van alle PAKs genomen, omdat er geen waarden bestaan voor het totale pakket.</t>
        </r>
      </text>
    </comment>
  </commentList>
</comments>
</file>

<file path=xl/comments18.xml><?xml version="1.0" encoding="utf-8"?>
<comments xmlns="http://schemas.openxmlformats.org/spreadsheetml/2006/main">
  <authors>
    <author>A satisfied Microsoft Office user</author>
    <author>IVM</author>
  </authors>
  <commentList>
    <comment ref="A11" authorId="0">
      <text>
        <r>
          <rPr>
            <sz val="9"/>
            <rFont val="Tahoma"/>
            <family val="0"/>
          </rPr>
          <t>note</t>
        </r>
      </text>
    </comment>
    <comment ref="V57" authorId="1">
      <text>
        <r>
          <rPr>
            <sz val="9"/>
            <rFont val="Tahoma"/>
            <family val="2"/>
          </rPr>
          <t>Deze waarde is alleen ingevoerd om een mooi plaatje te kunnen maken.</t>
        </r>
      </text>
    </comment>
  </commentList>
</comments>
</file>

<file path=xl/comments2.xml><?xml version="1.0" encoding="utf-8"?>
<comments xmlns="http://schemas.openxmlformats.org/spreadsheetml/2006/main">
  <authors>
    <author>A satisfied Microsoft Office user</author>
    <author>IVM</author>
  </authors>
  <commentList>
    <comment ref="A6" authorId="0">
      <text>
        <r>
          <rPr>
            <sz val="9"/>
            <rFont val="Tahoma"/>
            <family val="0"/>
          </rPr>
          <t>Hier wordt de vracht berekend van een bepaalde verontreinigende stof j, voor zover de concentratie van deze stof hoger is dan de streefwaarde s. Vervolgens wordt gedeeld door (i+s)/2 om de hoeveelheid grondequivalenten in m3 te bepalen. Tenslotte worden de bijdragen van alle verontreinigende stoffen j gesommeerd.</t>
        </r>
      </text>
    </comment>
    <comment ref="A7" authorId="0">
      <text>
        <r>
          <rPr>
            <sz val="9"/>
            <rFont val="Tahoma"/>
            <family val="0"/>
          </rPr>
          <t>Hier wordt de vracht berekend van een bepaalde verontreinigende stof j, voor zover de concentratie van deze stof hoger is dan de streefwaarde s. Vervolgens wordt gedeeld door (i+s)/2 om de hoeveelheid grondwaterequivalenten in m3 te bepalen. Tenslotte worden de bijdragen van alle verontreinigende stoffen j gesommeerd.</t>
        </r>
      </text>
    </comment>
    <comment ref="A22" authorId="0">
      <text>
        <r>
          <rPr>
            <sz val="9"/>
            <rFont val="Tahoma"/>
            <family val="0"/>
          </rPr>
          <t>Hier moet de vracht worden ingevuld van een bepaalde verontreinigende stof j, voor zover de concentratie van deze stof hoger is dan de streefwaarde s. Vervolgens wordt gedeeld door (i+s)/2 om de hoeveelheid grondequivalenten in m3 te bepalen. Tenslotte worden de bijdragen van alle verontreinigende stoffen j gesommeerd.</t>
        </r>
      </text>
    </comment>
    <comment ref="B24" authorId="0">
      <text>
        <r>
          <rPr>
            <sz val="9"/>
            <rFont val="Tahoma"/>
            <family val="0"/>
          </rPr>
          <t>streefwaarde; deze worden gekozen aan de hand van de gekozen stof; waarden zijn gecorrigeerd voor lutum- en organisch-stofgehalte. Alleen concentraties boven de s-waarden worden meegenomen in de berekening voor Milieuverdienste.</t>
        </r>
      </text>
    </comment>
    <comment ref="C24" authorId="0">
      <text>
        <r>
          <rPr>
            <sz val="9"/>
            <rFont val="Tahoma"/>
            <family val="0"/>
          </rPr>
          <t>interventiewaarde; wordt gekozen aan de hand van de gekozen stof; deze waarden zijn gecorrigeerd voor lutum- en organisch-stofgehalte. De interventie- en de streefwaarde bepalen de normeringseenheid die wordt gebruikt om de milieukosten van verschillende verontreinigingen bij elkaar op te tellen.</t>
        </r>
      </text>
    </comment>
    <comment ref="D24" authorId="0">
      <text>
        <r>
          <rPr>
            <sz val="9"/>
            <rFont val="Tahoma"/>
            <family val="0"/>
          </rPr>
          <t xml:space="preserve">(c-s)*V
</t>
        </r>
      </text>
    </comment>
    <comment ref="G24" authorId="0">
      <text>
        <r>
          <rPr>
            <sz val="9"/>
            <rFont val="Tahoma"/>
            <family val="0"/>
          </rPr>
          <t>lutum; alleen invullen bij zware metalen. Deze waarde wordt gebruikt om de i- en s-waarden te corrigeren.</t>
        </r>
      </text>
    </comment>
    <comment ref="H24" authorId="0">
      <text>
        <r>
          <rPr>
            <sz val="9"/>
            <rFont val="Tahoma"/>
            <family val="0"/>
          </rPr>
          <t>organisch stof- of humusgehalte; de waarden worden automatisch gecorrigeerd want ze moeten tussen de 2% en 30% liggen; bij PAKs tussen 10% en 30%. Het organisch stofgehalte wordt gebruikt om de i- en de s-waarden te corrigeren.</t>
        </r>
      </text>
    </comment>
    <comment ref="I24" authorId="0">
      <text>
        <r>
          <rPr>
            <sz val="9"/>
            <rFont val="Tahoma"/>
            <family val="0"/>
          </rPr>
          <t>Score per stof. Een Kubel is een m3 die is verontreinigd met 1 maal de tussenwaarde van de betreffende stof.
500 kubel is dus 500m3 met 1 maal de tusenwaarde of 5 m3 met 100 maal de tussenwaarde.</t>
        </r>
      </text>
    </comment>
    <comment ref="L24" authorId="0">
      <text>
        <r>
          <rPr>
            <sz val="9"/>
            <rFont val="Tahoma"/>
            <family val="0"/>
          </rPr>
          <t>s-waarde, ongecorrigeerd voor OS en lutum.</t>
        </r>
      </text>
    </comment>
    <comment ref="M24" authorId="0">
      <text>
        <r>
          <rPr>
            <sz val="9"/>
            <rFont val="Tahoma"/>
            <family val="0"/>
          </rPr>
          <t>i-waarde, on
gecorrigeerd voor OS en lutum.</t>
        </r>
      </text>
    </comment>
    <comment ref="N24" authorId="0">
      <text>
        <r>
          <rPr>
            <sz val="9"/>
            <rFont val="Tahoma"/>
            <family val="0"/>
          </rPr>
          <t>tussenwaarden (gemiddelde tussen s en i), gecorrigeerd voor OS en lutum.</t>
        </r>
      </text>
    </comment>
    <comment ref="O24" authorId="0">
      <text>
        <r>
          <rPr>
            <sz val="9"/>
            <rFont val="Tahoma"/>
            <family val="0"/>
          </rPr>
          <t>rangnummer van de verontreinigingen genoemd in de het werkblad 'normen'. Aan de hand van dit nummer vindt Excel bijbehorende i en s-waarden als een stof wordt gekozen.</t>
        </r>
      </text>
    </comment>
    <comment ref="P24" authorId="0">
      <text>
        <r>
          <rPr>
            <sz val="9"/>
            <rFont val="Tahoma"/>
            <family val="0"/>
          </rPr>
          <t>stofafhankijke constante bij metalen uit de Leidraad. Wordt, samen met de waarden voor B' en C' gebruikt om i en s-waarden te bepalen aan de hand van OS en lutum.</t>
        </r>
      </text>
    </comment>
    <comment ref="S24" authorId="0">
      <text>
        <r>
          <rPr>
            <sz val="9"/>
            <rFont val="Tahoma"/>
            <family val="0"/>
          </rPr>
          <t>Het organisch-stofgehalte (humus) moet voor de berekening van i' en s' tussen 2 en 30 liggen (voor PAKs tussen 10 en 30). Excel corrigeert hier voor opgegeven waarden buiten dit bereik.</t>
        </r>
      </text>
    </comment>
    <comment ref="A33" authorId="0">
      <text>
        <r>
          <rPr>
            <sz val="9"/>
            <rFont val="Tahoma"/>
            <family val="0"/>
          </rPr>
          <t>Hier kan een verontreiniging worden ingevuld die niet in de lijst staat. Let op: ook de voor humus (=organisch stof) en lutum gecorrigeerde i- en de s-waarden moeten nu worden ingevuld!</t>
        </r>
      </text>
    </comment>
    <comment ref="A34" authorId="0">
      <text>
        <r>
          <rPr>
            <sz val="9"/>
            <rFont val="Tahoma"/>
            <family val="0"/>
          </rPr>
          <t>Hier kan een verontreiniging worden ingevuld die niet in de lijst staat. Let op: ook de voor humus (=organisch stof) en lutum gecorrigeerde i- en de s-waarden moeten nu worden ingevuld!</t>
        </r>
      </text>
    </comment>
    <comment ref="A35" authorId="0">
      <text>
        <r>
          <rPr>
            <sz val="9"/>
            <rFont val="Tahoma"/>
            <family val="0"/>
          </rPr>
          <t>Hier kan een verontreiniging worden ingevuld die niet in de lijst staat. Let op: ook de voor humus (=organisch stof) en lutum gecorrigeerde i- en de s-waarden moeten nu worden ingevuld!</t>
        </r>
      </text>
    </comment>
    <comment ref="A40" authorId="0">
      <text>
        <r>
          <rPr>
            <sz val="9"/>
            <rFont val="Tahoma"/>
            <family val="0"/>
          </rPr>
          <t>Hier moet de vracht worden ingevuld van een bepaalde verontreinigende stof j, voor zover de concentratie van deze stof hoger is dan de streefwaarde s. Vervolgens wordt gedeeld door (i+s)/2 om de hoeveelheid grondequivalenten in m3 te bepalen. Tenslotte worden de bijdragen van alle verontreinigende stoffen j gesommeerd.</t>
        </r>
      </text>
    </comment>
    <comment ref="B42" authorId="0">
      <text>
        <r>
          <rPr>
            <sz val="9"/>
            <rFont val="Tahoma"/>
            <family val="0"/>
          </rPr>
          <t>streefwaarde in microgram/liter</t>
        </r>
      </text>
    </comment>
    <comment ref="C42" authorId="0">
      <text>
        <r>
          <rPr>
            <sz val="9"/>
            <rFont val="Tahoma"/>
            <family val="0"/>
          </rPr>
          <t>interventiewaarde in microgram/liter</t>
        </r>
      </text>
    </comment>
    <comment ref="D42" authorId="0">
      <text>
        <r>
          <rPr>
            <sz val="9"/>
            <rFont val="Tahoma"/>
            <family val="0"/>
          </rPr>
          <t xml:space="preserve">(c-s)*V
</t>
        </r>
      </text>
    </comment>
    <comment ref="I42" authorId="0">
      <text>
        <r>
          <rPr>
            <sz val="9"/>
            <rFont val="Tahoma"/>
            <family val="0"/>
          </rPr>
          <t>Score per stof. Een Kubel is een m3 die is verontreinigd met 1 maal de tussenwaarde van de betreffende stof.
500 kubel is dus 500m3 met 1 maal de tusenwaarde of 5 m3 met 100 maal de tussenwaarde.</t>
        </r>
      </text>
    </comment>
    <comment ref="A51" authorId="0">
      <text>
        <r>
          <rPr>
            <sz val="9"/>
            <rFont val="Tahoma"/>
            <family val="0"/>
          </rPr>
          <t>Hier kan een verontreiniging worden ingevuld die niet in de lijst staat. Let op: ook i- en de s-waarden moeten nu worden ingevuld!</t>
        </r>
      </text>
    </comment>
    <comment ref="A52" authorId="0">
      <text>
        <r>
          <rPr>
            <sz val="9"/>
            <rFont val="Tahoma"/>
            <family val="0"/>
          </rPr>
          <t>Hier kan een verontreiniging worden ingevuld die niet in de lijst staat. Let op: ook i- en de s-waarden moeten nu worden ingevuld!</t>
        </r>
      </text>
    </comment>
    <comment ref="A53" authorId="0">
      <text>
        <r>
          <rPr>
            <sz val="9"/>
            <rFont val="Tahoma"/>
            <family val="0"/>
          </rPr>
          <t>Hier kan een verontreiniging worden ingevuld die niet in de lijst staat. Let op: ook i- en de s-waarden moeten nu worden ingevuld!</t>
        </r>
      </text>
    </comment>
    <comment ref="J24" authorId="1">
      <text>
        <r>
          <rPr>
            <sz val="9"/>
            <rFont val="Tahoma"/>
            <family val="2"/>
          </rPr>
          <t>Aaname is dat de bodemdichtheid 1700 kg/m3  bedraagt.
De vracht dient slechts ter controle en wordt verder niet gebruikt in de berekeningen.</t>
        </r>
      </text>
    </comment>
    <comment ref="F36" authorId="1">
      <text>
        <r>
          <rPr>
            <sz val="9"/>
            <rFont val="Tahoma"/>
            <family val="2"/>
          </rPr>
          <t xml:space="preserve">Dit is het totaalvolume van de locatie dat wordt </t>
        </r>
        <r>
          <rPr>
            <b/>
            <i/>
            <sz val="9"/>
            <rFont val="Tahoma"/>
            <family val="2"/>
          </rPr>
          <t>geschat</t>
        </r>
        <r>
          <rPr>
            <sz val="9"/>
            <rFont val="Tahoma"/>
            <family val="2"/>
          </rPr>
          <t xml:space="preserve"> aan de hand van het grootste volume dat is ingevuld. Deze waarde wordt alleen gebruikt voor de MF-referentie. Vul hier indien nodig een andere waarde in.</t>
        </r>
      </text>
    </comment>
    <comment ref="E24" authorId="1">
      <text>
        <r>
          <rPr>
            <sz val="9"/>
            <rFont val="Tahoma"/>
            <family val="2"/>
          </rPr>
          <t>Concentratie</t>
        </r>
      </text>
    </comment>
    <comment ref="F24" authorId="1">
      <text>
        <r>
          <rPr>
            <sz val="9"/>
            <rFont val="Tahoma"/>
            <family val="2"/>
          </rPr>
          <t>Volume van de verontreinigde grond</t>
        </r>
      </text>
    </comment>
    <comment ref="E42" authorId="1">
      <text>
        <r>
          <rPr>
            <sz val="9"/>
            <rFont val="Tahoma"/>
            <family val="2"/>
          </rPr>
          <t>Concentratie</t>
        </r>
      </text>
    </comment>
    <comment ref="F42" authorId="1">
      <text>
        <r>
          <rPr>
            <sz val="9"/>
            <rFont val="Tahoma"/>
            <family val="2"/>
          </rPr>
          <t>Volume verontreinigd grondwater</t>
        </r>
      </text>
    </comment>
    <comment ref="F54" authorId="1">
      <text>
        <r>
          <rPr>
            <sz val="9"/>
            <rFont val="Tahoma"/>
            <family val="2"/>
          </rPr>
          <t xml:space="preserve">Dit is het totaalvolume van de locatie dat wordt </t>
        </r>
        <r>
          <rPr>
            <b/>
            <i/>
            <sz val="9"/>
            <rFont val="Tahoma"/>
            <family val="2"/>
          </rPr>
          <t>geschat</t>
        </r>
        <r>
          <rPr>
            <sz val="9"/>
            <rFont val="Tahoma"/>
            <family val="2"/>
          </rPr>
          <t xml:space="preserve"> aan de hand van het grootste volume dat is ingevuld. Deze waarde wordt alleen gebruikt voor de MF-referentie. Vul hier indien nodig een andere waarde in.</t>
        </r>
      </text>
    </comment>
  </commentList>
</comments>
</file>

<file path=xl/comments3.xml><?xml version="1.0" encoding="utf-8"?>
<comments xmlns="http://schemas.openxmlformats.org/spreadsheetml/2006/main">
  <authors>
    <author>A satisfied Microsoft Office user</author>
    <author>IVM</author>
    <author>Michiel en Stephanie</author>
  </authors>
  <commentList>
    <comment ref="A6"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A7"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A8" authorId="0">
      <text>
        <r>
          <rPr>
            <sz val="9"/>
            <rFont val="Tahoma"/>
            <family val="0"/>
          </rPr>
          <t>Dit is de netto hoeveelheid grond die verloren gaat, ongeacht de hoeveelheid verontreiniging die erin zit.</t>
        </r>
      </text>
    </comment>
    <comment ref="A9" authorId="0">
      <text>
        <r>
          <rPr>
            <sz val="9"/>
            <rFont val="Tahoma"/>
            <family val="0"/>
          </rPr>
          <t>Dit is de netto hoeveelheid grondwater die voor de sanering verloren gaat ongeacht hoeveel verontreiniging daar in zit.</t>
        </r>
      </text>
    </comment>
    <comment ref="A10"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t>
        </r>
      </text>
    </comment>
    <comment ref="A11" authorId="0">
      <text>
        <r>
          <rPr>
            <sz val="9"/>
            <rFont val="Tahoma"/>
            <family val="0"/>
          </rPr>
          <t>Oppervlaktewater emissies worden genormeerd met de grenswaarde uit de evaluatienota water.</t>
        </r>
      </text>
    </comment>
    <comment ref="A12" authorId="0">
      <text>
        <r>
          <rPr>
            <sz val="9"/>
            <rFont val="Tahoma"/>
            <family val="0"/>
          </rPr>
          <t>Denk hierbij onder andere aan:
Afgevoerde grond
Afval grondreiniging
Actieve kool
Slib van waterzuivering</t>
        </r>
      </text>
    </comment>
    <comment ref="A13"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A22"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B23" authorId="0">
      <text>
        <r>
          <rPr>
            <sz val="9"/>
            <rFont val="Tahoma"/>
            <family val="0"/>
          </rPr>
          <t>streefwaarde</t>
        </r>
      </text>
    </comment>
    <comment ref="C23" authorId="0">
      <text>
        <r>
          <rPr>
            <sz val="9"/>
            <rFont val="Tahoma"/>
            <family val="0"/>
          </rPr>
          <t>interventiewaarde</t>
        </r>
      </text>
    </comment>
    <comment ref="E23" authorId="0">
      <text>
        <r>
          <rPr>
            <sz val="9"/>
            <rFont val="Tahoma"/>
            <family val="0"/>
          </rPr>
          <t>lutum</t>
        </r>
      </text>
    </comment>
    <comment ref="F23" authorId="0">
      <text>
        <r>
          <rPr>
            <sz val="9"/>
            <rFont val="Tahoma"/>
            <family val="0"/>
          </rPr>
          <t>Organisch stof- of humusgehalte; de waarden zijn automatisch gecorrigeerd want ze moeten tussen de 2% en 30% liggen; bij PAKs tussen 10% en 30%. Het organisch stofgehalte is gebruikt om de i- en de s-waarden te corrigeren.</t>
        </r>
      </text>
    </comment>
    <comment ref="G23" authorId="0">
      <text>
        <r>
          <rPr>
            <sz val="9"/>
            <rFont val="Tahoma"/>
            <family val="0"/>
          </rPr>
          <t xml:space="preserve">Score per stof. Een Kubel is een m3 die gedurende een jaar is verontreinigd met 1 maal de tussenwaarde van de betreffende stof.
500 kubel is dus 500m3 met 1 maal de tusenwaarde of 5 m3 met 100 maal de tussenwaarde.
</t>
        </r>
      </text>
    </comment>
    <comment ref="J23" authorId="0">
      <text>
        <r>
          <rPr>
            <sz val="9"/>
            <rFont val="Tahoma"/>
            <family val="0"/>
          </rPr>
          <t>score per component</t>
        </r>
      </text>
    </comment>
    <comment ref="A40"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B41" authorId="0">
      <text>
        <r>
          <rPr>
            <sz val="9"/>
            <rFont val="Tahoma"/>
            <family val="0"/>
          </rPr>
          <t>streefwaarde</t>
        </r>
      </text>
    </comment>
    <comment ref="C41" authorId="0">
      <text>
        <r>
          <rPr>
            <sz val="9"/>
            <rFont val="Tahoma"/>
            <family val="0"/>
          </rPr>
          <t>interventiewaarde</t>
        </r>
      </text>
    </comment>
    <comment ref="J41" authorId="0">
      <text>
        <r>
          <rPr>
            <sz val="9"/>
            <rFont val="Tahoma"/>
            <family val="0"/>
          </rPr>
          <t>grondwatervolume verontreinigd met deze component</t>
        </r>
      </text>
    </comment>
    <comment ref="A58" authorId="0">
      <text>
        <r>
          <rPr>
            <sz val="9"/>
            <rFont val="Tahoma"/>
            <family val="0"/>
          </rPr>
          <t>Dit is de netto hoeveelheid grond die verloren gaat, ongeacht de hoeveelheid verontreiniging die erin zit.</t>
        </r>
      </text>
    </comment>
    <comment ref="A59" authorId="0">
      <text>
        <r>
          <rPr>
            <sz val="9"/>
            <rFont val="Tahoma"/>
            <family val="0"/>
          </rPr>
          <t>hoeveelheid grond die van elders wordt aangewend</t>
        </r>
      </text>
    </comment>
    <comment ref="A60" authorId="0">
      <text>
        <r>
          <rPr>
            <sz val="9"/>
            <rFont val="Tahoma"/>
            <family val="0"/>
          </rPr>
          <t>hoeveelheid afgegraven grond die elders wordt hergebruikt</t>
        </r>
      </text>
    </comment>
    <comment ref="A66" authorId="0">
      <text>
        <r>
          <rPr>
            <sz val="9"/>
            <rFont val="Tahoma"/>
            <family val="0"/>
          </rPr>
          <t>Dit is de netto hoeveelheid grondwater die voor de sanering verloren gaat ongeacht hoeveel verontreiniging daar in zit.</t>
        </r>
      </text>
    </comment>
    <comment ref="A67" authorId="0">
      <text>
        <r>
          <rPr>
            <sz val="9"/>
            <rFont val="Tahoma"/>
            <family val="0"/>
          </rPr>
          <t>opgepompte hoeveelheid grondwater (al dan niet verontreinigd)</t>
        </r>
      </text>
    </comment>
    <comment ref="A68" authorId="0">
      <text>
        <r>
          <rPr>
            <sz val="9"/>
            <rFont val="Tahoma"/>
            <family val="0"/>
          </rPr>
          <t>Hoeveelheid opgepompt grondwater die na zuivering weer wordt teruggevoerd naar de grondwatervoorraad.</t>
        </r>
      </text>
    </comment>
    <comment ref="A74"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
Vul bij 12 en 13 andere energiegebruikende operaties in.</t>
        </r>
      </text>
    </comment>
    <comment ref="E75" authorId="0">
      <text>
        <r>
          <rPr>
            <sz val="9"/>
            <rFont val="Tahoma"/>
            <family val="0"/>
          </rPr>
          <t>Gegeven waarden zijn slechts defaults. Voor specifieke locaties kunnen ze worden vervangen door preciezere kentallen.</t>
        </r>
      </text>
    </comment>
    <comment ref="F75" authorId="0">
      <text>
        <r>
          <rPr>
            <sz val="9"/>
            <rFont val="Tahoma"/>
            <family val="0"/>
          </rPr>
          <t>Eenheid bedoeld in kolom direct links van deze. Bijvoorbeeld bij 1, is het dieselgebruik 35 MJ/ton afgegraven grond.</t>
        </r>
      </text>
    </comment>
    <comment ref="C77" authorId="0">
      <text>
        <r>
          <rPr>
            <sz val="9"/>
            <rFont val="Tahoma"/>
            <family val="0"/>
          </rPr>
          <t>Vul in hoeveel ton grond wordt afgegraven.</t>
        </r>
      </text>
    </comment>
    <comment ref="C78" authorId="0">
      <text>
        <r>
          <rPr>
            <sz val="9"/>
            <rFont val="Tahoma"/>
            <family val="0"/>
          </rPr>
          <t>Vul in hoeveel ton grond moet worden vervoerd</t>
        </r>
      </text>
    </comment>
    <comment ref="A79" authorId="0">
      <text>
        <r>
          <rPr>
            <sz val="9"/>
            <rFont val="Tahoma"/>
            <family val="0"/>
          </rPr>
          <t>enkele reis</t>
        </r>
      </text>
    </comment>
    <comment ref="C79" authorId="0">
      <text>
        <r>
          <rPr>
            <sz val="9"/>
            <rFont val="Tahoma"/>
            <family val="0"/>
          </rPr>
          <t>Vervoersafstand in km (enekele reis)</t>
        </r>
      </text>
    </comment>
    <comment ref="C80" authorId="0">
      <text>
        <r>
          <rPr>
            <sz val="9"/>
            <rFont val="Tahoma"/>
            <family val="0"/>
          </rPr>
          <t>Vul in hoeveel ton grond moet worden aangevoerd.</t>
        </r>
      </text>
    </comment>
    <comment ref="A81" authorId="0">
      <text>
        <r>
          <rPr>
            <sz val="9"/>
            <rFont val="Tahoma"/>
            <family val="0"/>
          </rPr>
          <t>enkele reis</t>
        </r>
      </text>
    </comment>
    <comment ref="C81" authorId="0">
      <text>
        <r>
          <rPr>
            <sz val="9"/>
            <rFont val="Tahoma"/>
            <family val="0"/>
          </rPr>
          <t>Vervoersafstand in km, enkele reis.</t>
        </r>
      </text>
    </comment>
    <comment ref="D82" authorId="0">
      <text>
        <r>
          <rPr>
            <sz val="9"/>
            <rFont val="Tahoma"/>
            <family val="0"/>
          </rPr>
          <t>Vul in hoeveel ton grond moet worden gereinigd.</t>
        </r>
      </text>
    </comment>
    <comment ref="D83" authorId="0">
      <text>
        <r>
          <rPr>
            <sz val="9"/>
            <rFont val="Tahoma"/>
            <family val="0"/>
          </rPr>
          <t>Vul in hoeveel ton grond moet worden gereinigd.</t>
        </r>
      </text>
    </comment>
    <comment ref="D84" authorId="0">
      <text>
        <r>
          <rPr>
            <sz val="9"/>
            <rFont val="Tahoma"/>
            <family val="0"/>
          </rPr>
          <t>Vul in hoeveel ton grond moet worden gereinigd.</t>
        </r>
      </text>
    </comment>
    <comment ref="D85" authorId="0">
      <text>
        <r>
          <rPr>
            <sz val="9"/>
            <rFont val="Tahoma"/>
            <family val="0"/>
          </rPr>
          <t>Vul in hoeveel ton grond moet worden gereinigd.</t>
        </r>
      </text>
    </comment>
    <comment ref="E85" authorId="0">
      <text>
        <r>
          <rPr>
            <sz val="9"/>
            <rFont val="Tahoma"/>
            <family val="0"/>
          </rPr>
          <t>Energiegebruik in MJ per ton grond.</t>
        </r>
      </text>
    </comment>
    <comment ref="D86" authorId="0">
      <text>
        <r>
          <rPr>
            <sz val="9"/>
            <rFont val="Tahoma"/>
            <family val="0"/>
          </rPr>
          <t>Vul in hoeveel m3 er moet worden opgepompt.</t>
        </r>
      </text>
    </comment>
    <comment ref="A87" authorId="0">
      <text>
        <r>
          <rPr>
            <sz val="9"/>
            <rFont val="Tahoma"/>
            <family val="0"/>
          </rPr>
          <t>indien niets wordt ingevuld is de voorkeurswaarde 2m</t>
        </r>
      </text>
    </comment>
    <comment ref="C88" authorId="0">
      <text>
        <r>
          <rPr>
            <sz val="9"/>
            <rFont val="Tahoma"/>
            <family val="0"/>
          </rPr>
          <t>Vul in hoeveel m3 er moet worden opgepompt.</t>
        </r>
      </text>
    </comment>
    <comment ref="E88" authorId="0">
      <text>
        <r>
          <rPr>
            <sz val="9"/>
            <rFont val="Tahoma"/>
            <family val="0"/>
          </rPr>
          <t>indien niets wordt ingevuld is de voorkeurswaarde 0.02</t>
        </r>
      </text>
    </comment>
    <comment ref="A89" authorId="0">
      <text>
        <r>
          <rPr>
            <sz val="9"/>
            <rFont val="Tahoma"/>
            <family val="0"/>
          </rPr>
          <t>indien niets wordt ingevuld is de voorkeurswaarde 2m</t>
        </r>
      </text>
    </comment>
    <comment ref="D90" authorId="0">
      <text>
        <r>
          <rPr>
            <sz val="9"/>
            <rFont val="Tahoma"/>
            <family val="0"/>
          </rPr>
          <t>Vul in hoeveel m3 water er moet worden gereinigd.</t>
        </r>
      </text>
    </comment>
    <comment ref="A91" authorId="0">
      <text>
        <r>
          <rPr>
            <sz val="9"/>
            <rFont val="Tahoma"/>
            <family val="0"/>
          </rPr>
          <t>rioolwaterzuiveringsinstallatie</t>
        </r>
      </text>
    </comment>
    <comment ref="D91" authorId="0">
      <text>
        <r>
          <rPr>
            <sz val="9"/>
            <rFont val="Tahoma"/>
            <family val="0"/>
          </rPr>
          <t>Vul in hoeveel m3 water er naar de rioolwaterzuiveringsinstallatie moet worden afgevoerd.</t>
        </r>
      </text>
    </comment>
    <comment ref="A93" authorId="0">
      <text>
        <r>
          <rPr>
            <sz val="9"/>
            <rFont val="Tahoma"/>
            <family val="0"/>
          </rPr>
          <t>Vul hier het dieselgebruik van andere operaties die (fors) energie gebruiken.</t>
        </r>
      </text>
    </comment>
    <comment ref="C93" authorId="0">
      <text>
        <r>
          <rPr>
            <sz val="9"/>
            <rFont val="Tahoma"/>
            <family val="0"/>
          </rPr>
          <t>Vul in hoeveel tonnen diesel nodig is voor andere processen.</t>
        </r>
      </text>
    </comment>
    <comment ref="A94" authorId="0">
      <text>
        <r>
          <rPr>
            <sz val="9"/>
            <rFont val="Tahoma"/>
            <family val="0"/>
          </rPr>
          <t>Vul hier het elektriciteitsgebruik van andere operaties die (fors) energie gebruiken. Eenheid is MJ! 1 kWh komt overeen met 3.6 MJ.</t>
        </r>
      </text>
    </comment>
    <comment ref="D94" authorId="0">
      <text>
        <r>
          <rPr>
            <sz val="9"/>
            <rFont val="Tahoma"/>
            <family val="0"/>
          </rPr>
          <t>Vul hier het elektriciteitsgebruik van andere processen in MJ. 1 kWh komt overeen met 3.6 MJ.</t>
        </r>
      </text>
    </comment>
    <comment ref="A103" authorId="0">
      <text>
        <r>
          <rPr>
            <sz val="9"/>
            <rFont val="Tahoma"/>
            <family val="0"/>
          </rPr>
          <t>Oppervlaktewater emissies worden genormeerd met de grenswaarde uit de evaluatienota water. Als deze niet bekend zijn verschijnt er 'NB' in het venster.</t>
        </r>
      </text>
    </comment>
    <comment ref="B104" authorId="0">
      <text>
        <r>
          <rPr>
            <sz val="9"/>
            <rFont val="Tahoma"/>
            <family val="0"/>
          </rPr>
          <t>grenswaarde in microgram/l</t>
        </r>
      </text>
    </comment>
    <comment ref="C104" authorId="0">
      <text>
        <r>
          <rPr>
            <sz val="9"/>
            <rFont val="Tahoma"/>
            <family val="0"/>
          </rPr>
          <t>concentratie in microgram/liter</t>
        </r>
      </text>
    </comment>
    <comment ref="D104" authorId="0">
      <text>
        <r>
          <rPr>
            <sz val="9"/>
            <rFont val="Tahoma"/>
            <family val="0"/>
          </rPr>
          <t>volume emissie in m3</t>
        </r>
      </text>
    </comment>
    <comment ref="B105" authorId="0">
      <text>
        <r>
          <rPr>
            <sz val="9"/>
            <rFont val="Tahoma"/>
            <family val="0"/>
          </rPr>
          <t>Waarde wordt opgehaald uit werkblad 'Normen' (druk eventueel op F9). 'NB' betekent Niet Bekend - vul dan een waarde in die apart is vastgesteld of die is afgeleid van de norm voor grondwater.</t>
        </r>
      </text>
    </comment>
    <comment ref="A121" authorId="0">
      <text>
        <r>
          <rPr>
            <sz val="9"/>
            <rFont val="Tahoma"/>
            <family val="0"/>
          </rPr>
          <t xml:space="preserve">Denk hierbij onder andere aan:
Afgevoerde grond
Afval grondreiniging
Actieve kool
Slib van waterzuivering
</t>
        </r>
      </text>
    </comment>
    <comment ref="A131"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B132" authorId="0">
      <text>
        <r>
          <rPr>
            <sz val="9"/>
            <rFont val="Tahoma"/>
            <family val="0"/>
          </rPr>
          <t>Indien gewenst kan onderscheid gemaakt worden tussen verschillende fases in het project, bijvoorbeeld afgraving en grondwatersanering. De waarden worden gewoon opgeteld.</t>
        </r>
      </text>
    </comment>
    <comment ref="C98" authorId="1">
      <text>
        <r>
          <rPr>
            <sz val="9"/>
            <rFont val="Tahoma"/>
            <family val="2"/>
          </rPr>
          <t>Gemiddeld energiegebruik per inwoner in Nederland in 1997 was ongeveer 200 GJ</t>
        </r>
        <r>
          <rPr>
            <sz val="9"/>
            <rFont val="Tahoma"/>
            <family val="0"/>
          </rPr>
          <t xml:space="preserve">
</t>
        </r>
      </text>
    </comment>
    <comment ref="C99" authorId="1">
      <text>
        <r>
          <rPr>
            <sz val="9"/>
            <rFont val="Tahoma"/>
            <family val="2"/>
          </rPr>
          <t>Emissies CO2, SO2 en NOx berekend met standaard LCA-omrekenfactoren en gerelateerd aan emissies per capita. Wegen elk even zwaar.</t>
        </r>
      </text>
    </comment>
    <comment ref="E41" authorId="1">
      <text>
        <r>
          <rPr>
            <sz val="9"/>
            <rFont val="Tahoma"/>
            <family val="2"/>
          </rPr>
          <t xml:space="preserve">Score per stof. Een Kubel is een m3 die gedurende een jaar is verontreinigd met 1 maal de tussenwaarde van de betreffende stof.
500 kubel is dus 500m3 met 1 maal de tusenwaarde of 5 m3 met 100 maal de tussenwaarde.
</t>
        </r>
      </text>
    </comment>
    <comment ref="E104" authorId="1">
      <text>
        <r>
          <rPr>
            <sz val="9"/>
            <rFont val="Tahoma"/>
            <family val="2"/>
          </rPr>
          <t xml:space="preserve">Score per stof. Een Kubel is een m3 die is verontreinigd met 1 maal de tussenwaarde van de betreffende stof.
500 kubel is dus 500m3 met 1 maal de tusenwaarde of 5 m3 met 100 maal de tussenwaarde.
</t>
        </r>
      </text>
    </comment>
    <comment ref="D23"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D41"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H23" authorId="1">
      <text>
        <r>
          <rPr>
            <sz val="9"/>
            <rFont val="Tahoma"/>
            <family val="2"/>
          </rPr>
          <t>Aaname is dat de bodemdichtheid 1700 kg/m3  bedraagt.
De vracht dient slechts ter controle en wordt verder niet gebruikt in de berekeningen.</t>
        </r>
      </text>
    </comment>
    <comment ref="A23" authorId="2">
      <text>
        <r>
          <rPr>
            <sz val="10"/>
            <rFont val="Tahoma"/>
            <family val="2"/>
          </rPr>
          <t>De stoffen worden gekopieerd uit het werkblad 'Huidig'. Vul dit werkblad dus eerst in.</t>
        </r>
      </text>
    </comment>
  </commentList>
</comments>
</file>

<file path=xl/comments4.xml><?xml version="1.0" encoding="utf-8"?>
<comments xmlns="http://schemas.openxmlformats.org/spreadsheetml/2006/main">
  <authors>
    <author>A satisfied Microsoft Office user</author>
    <author>IVM</author>
    <author>Michiel en Stephanie</author>
  </authors>
  <commentList>
    <comment ref="A6"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A7"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A8" authorId="0">
      <text>
        <r>
          <rPr>
            <sz val="9"/>
            <rFont val="Tahoma"/>
            <family val="0"/>
          </rPr>
          <t>Dit is de netto hoeveelheid grond die verloren gaat, ongeacht de hoeveelheid verontreiniging die erin zit.</t>
        </r>
      </text>
    </comment>
    <comment ref="A9" authorId="0">
      <text>
        <r>
          <rPr>
            <sz val="9"/>
            <rFont val="Tahoma"/>
            <family val="0"/>
          </rPr>
          <t>Dit is de netto hoeveelheid grondwater die voor de sanering verloren gaat ongeacht hoeveel verontreiniging daar in zit.</t>
        </r>
      </text>
    </comment>
    <comment ref="A10"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t>
        </r>
      </text>
    </comment>
    <comment ref="A11" authorId="0">
      <text>
        <r>
          <rPr>
            <sz val="9"/>
            <rFont val="Tahoma"/>
            <family val="0"/>
          </rPr>
          <t>Oppervlaktewater emissies worden genormeerd met de grenswaarde uit de evaluatienota water.</t>
        </r>
      </text>
    </comment>
    <comment ref="A12" authorId="0">
      <text>
        <r>
          <rPr>
            <sz val="9"/>
            <rFont val="Tahoma"/>
            <family val="0"/>
          </rPr>
          <t>Denk hierbij onder andere aan:
Afgevoerde grond
Afval grondreiniging
Actieve kool
Slib van waterzuivering</t>
        </r>
      </text>
    </comment>
    <comment ref="A13"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A22"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B23" authorId="0">
      <text>
        <r>
          <rPr>
            <sz val="9"/>
            <rFont val="Tahoma"/>
            <family val="0"/>
          </rPr>
          <t>streefwaarde</t>
        </r>
      </text>
    </comment>
    <comment ref="C23" authorId="0">
      <text>
        <r>
          <rPr>
            <sz val="9"/>
            <rFont val="Tahoma"/>
            <family val="0"/>
          </rPr>
          <t>interventiewaarde</t>
        </r>
      </text>
    </comment>
    <comment ref="E23" authorId="0">
      <text>
        <r>
          <rPr>
            <sz val="9"/>
            <rFont val="Tahoma"/>
            <family val="0"/>
          </rPr>
          <t>lutum</t>
        </r>
      </text>
    </comment>
    <comment ref="F23" authorId="0">
      <text>
        <r>
          <rPr>
            <sz val="9"/>
            <rFont val="Tahoma"/>
            <family val="0"/>
          </rPr>
          <t>Organisch stof- of humusgehalte; de waarden zijn automatisch gecorrigeerd want ze moeten tussen de 2% en 30% liggen; bij PAKs tussen 10% en 30%. Het organisch stofgehalte is gebruikt om de i- en de s-waarden te corrigeren.</t>
        </r>
      </text>
    </comment>
    <comment ref="G23" authorId="0">
      <text>
        <r>
          <rPr>
            <sz val="9"/>
            <rFont val="Tahoma"/>
            <family val="0"/>
          </rPr>
          <t xml:space="preserve">Score per stof. Een Kubel is een m3 die gedurende een jaar is verontreinigd met 1 maal de tussenwaarde van de betreffende stof.
500 kubel is dus 500m3 met 1 maal de tusenwaarde of 5 m3 met 100 maal de tussenwaarde.
</t>
        </r>
      </text>
    </comment>
    <comment ref="J23" authorId="0">
      <text>
        <r>
          <rPr>
            <sz val="9"/>
            <rFont val="Tahoma"/>
            <family val="0"/>
          </rPr>
          <t>score per component</t>
        </r>
      </text>
    </comment>
    <comment ref="A40"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B41" authorId="0">
      <text>
        <r>
          <rPr>
            <sz val="9"/>
            <rFont val="Tahoma"/>
            <family val="0"/>
          </rPr>
          <t>streefwaarde</t>
        </r>
      </text>
    </comment>
    <comment ref="C41" authorId="0">
      <text>
        <r>
          <rPr>
            <sz val="9"/>
            <rFont val="Tahoma"/>
            <family val="0"/>
          </rPr>
          <t>interventiewaarde</t>
        </r>
      </text>
    </comment>
    <comment ref="J41" authorId="0">
      <text>
        <r>
          <rPr>
            <sz val="9"/>
            <rFont val="Tahoma"/>
            <family val="0"/>
          </rPr>
          <t>grondwatervolume verontreinigd met deze component</t>
        </r>
      </text>
    </comment>
    <comment ref="A58" authorId="0">
      <text>
        <r>
          <rPr>
            <sz val="9"/>
            <rFont val="Tahoma"/>
            <family val="0"/>
          </rPr>
          <t>Dit is de netto hoeveelheid grond die verloren gaat, ongeacht de hoeveelheid verontreiniging die erin zit.</t>
        </r>
      </text>
    </comment>
    <comment ref="A59" authorId="0">
      <text>
        <r>
          <rPr>
            <sz val="9"/>
            <rFont val="Tahoma"/>
            <family val="0"/>
          </rPr>
          <t>hoeveelheid grond die van elders wordt aangewend</t>
        </r>
      </text>
    </comment>
    <comment ref="A60" authorId="0">
      <text>
        <r>
          <rPr>
            <sz val="9"/>
            <rFont val="Tahoma"/>
            <family val="0"/>
          </rPr>
          <t>hoeveelheid afgegraven grond die elders wordt hergebruikt</t>
        </r>
      </text>
    </comment>
    <comment ref="A66" authorId="0">
      <text>
        <r>
          <rPr>
            <sz val="9"/>
            <rFont val="Tahoma"/>
            <family val="0"/>
          </rPr>
          <t>Dit is de netto hoeveelheid grondwater die voor de sanering verloren gaat ongeacht hoeveel verontreiniging daar in zit.</t>
        </r>
      </text>
    </comment>
    <comment ref="A67" authorId="0">
      <text>
        <r>
          <rPr>
            <sz val="9"/>
            <rFont val="Tahoma"/>
            <family val="0"/>
          </rPr>
          <t>opgepompte hoeveelheid grondwater (al dan niet verontreinigd)</t>
        </r>
      </text>
    </comment>
    <comment ref="A68" authorId="0">
      <text>
        <r>
          <rPr>
            <sz val="9"/>
            <rFont val="Tahoma"/>
            <family val="0"/>
          </rPr>
          <t>Hoeveelheid opgepompt grondwater die na zuivering weer wordt teruggevoerd naar de grondwatervoorraad.</t>
        </r>
      </text>
    </comment>
    <comment ref="A74"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
Vul bij 12 en 13 andere energiegebruikende operaties in.</t>
        </r>
      </text>
    </comment>
    <comment ref="E75" authorId="0">
      <text>
        <r>
          <rPr>
            <sz val="9"/>
            <rFont val="Tahoma"/>
            <family val="0"/>
          </rPr>
          <t>Gegeven waarden zijn slechts defaults. Voor specifieke locaties kunnen ze worden vervangen door preciezere kentallen.</t>
        </r>
      </text>
    </comment>
    <comment ref="F75" authorId="0">
      <text>
        <r>
          <rPr>
            <sz val="9"/>
            <rFont val="Tahoma"/>
            <family val="0"/>
          </rPr>
          <t>Eenheid bedoeld in kolom direct links van deze. Bijvoorbeeld bij 1, is het dieselgebruik 35 MJ/ton afgegraven grond.</t>
        </r>
      </text>
    </comment>
    <comment ref="C77" authorId="0">
      <text>
        <r>
          <rPr>
            <sz val="9"/>
            <rFont val="Tahoma"/>
            <family val="0"/>
          </rPr>
          <t>Vul in hoeveel ton grond wordt afgegraven.</t>
        </r>
      </text>
    </comment>
    <comment ref="C78" authorId="0">
      <text>
        <r>
          <rPr>
            <sz val="9"/>
            <rFont val="Tahoma"/>
            <family val="0"/>
          </rPr>
          <t>Vul in hoeveel ton grond moet worden vervoerd</t>
        </r>
      </text>
    </comment>
    <comment ref="A79" authorId="0">
      <text>
        <r>
          <rPr>
            <sz val="9"/>
            <rFont val="Tahoma"/>
            <family val="0"/>
          </rPr>
          <t>enkele reis</t>
        </r>
      </text>
    </comment>
    <comment ref="C79" authorId="0">
      <text>
        <r>
          <rPr>
            <sz val="9"/>
            <rFont val="Tahoma"/>
            <family val="0"/>
          </rPr>
          <t>Vervoersafstand in km (enekele reis)</t>
        </r>
      </text>
    </comment>
    <comment ref="C80" authorId="0">
      <text>
        <r>
          <rPr>
            <sz val="9"/>
            <rFont val="Tahoma"/>
            <family val="0"/>
          </rPr>
          <t>Vul in hoeveel ton grond moet worden aangevoerd.</t>
        </r>
      </text>
    </comment>
    <comment ref="A81" authorId="0">
      <text>
        <r>
          <rPr>
            <sz val="9"/>
            <rFont val="Tahoma"/>
            <family val="0"/>
          </rPr>
          <t>enkele reis</t>
        </r>
      </text>
    </comment>
    <comment ref="C81" authorId="0">
      <text>
        <r>
          <rPr>
            <sz val="9"/>
            <rFont val="Tahoma"/>
            <family val="0"/>
          </rPr>
          <t>Vervoersafstand in km, enkele reis.</t>
        </r>
      </text>
    </comment>
    <comment ref="D82" authorId="0">
      <text>
        <r>
          <rPr>
            <sz val="9"/>
            <rFont val="Tahoma"/>
            <family val="0"/>
          </rPr>
          <t>Vul in hoeveel ton grond moet worden gereinigd.</t>
        </r>
      </text>
    </comment>
    <comment ref="D83" authorId="0">
      <text>
        <r>
          <rPr>
            <sz val="9"/>
            <rFont val="Tahoma"/>
            <family val="0"/>
          </rPr>
          <t>Vul in hoeveel ton grond moet worden gereinigd.</t>
        </r>
      </text>
    </comment>
    <comment ref="D84" authorId="0">
      <text>
        <r>
          <rPr>
            <sz val="9"/>
            <rFont val="Tahoma"/>
            <family val="0"/>
          </rPr>
          <t>Vul in hoeveel ton grond moet worden gereinigd.</t>
        </r>
      </text>
    </comment>
    <comment ref="D85" authorId="0">
      <text>
        <r>
          <rPr>
            <sz val="9"/>
            <rFont val="Tahoma"/>
            <family val="0"/>
          </rPr>
          <t>Vul in hoeveel ton grond moet worden gereinigd.</t>
        </r>
      </text>
    </comment>
    <comment ref="E85" authorId="0">
      <text>
        <r>
          <rPr>
            <sz val="9"/>
            <rFont val="Tahoma"/>
            <family val="0"/>
          </rPr>
          <t>Energiegebruik in MJ per ton grond.</t>
        </r>
      </text>
    </comment>
    <comment ref="D86" authorId="0">
      <text>
        <r>
          <rPr>
            <sz val="9"/>
            <rFont val="Tahoma"/>
            <family val="0"/>
          </rPr>
          <t>Vul in hoeveel m3 er moet worden opgepompt.</t>
        </r>
      </text>
    </comment>
    <comment ref="A87" authorId="0">
      <text>
        <r>
          <rPr>
            <sz val="9"/>
            <rFont val="Tahoma"/>
            <family val="0"/>
          </rPr>
          <t>indien niets wordt ingevuld is de voorkeurswaarde 2m</t>
        </r>
      </text>
    </comment>
    <comment ref="C88" authorId="0">
      <text>
        <r>
          <rPr>
            <sz val="9"/>
            <rFont val="Tahoma"/>
            <family val="0"/>
          </rPr>
          <t>Vul in hoeveel m3 er moet worden opgepompt.</t>
        </r>
      </text>
    </comment>
    <comment ref="E88" authorId="0">
      <text>
        <r>
          <rPr>
            <sz val="9"/>
            <rFont val="Tahoma"/>
            <family val="0"/>
          </rPr>
          <t>indien niets wordt ingevuld is de voorkeurswaarde 0.02</t>
        </r>
      </text>
    </comment>
    <comment ref="A89" authorId="0">
      <text>
        <r>
          <rPr>
            <sz val="9"/>
            <rFont val="Tahoma"/>
            <family val="0"/>
          </rPr>
          <t>indien niets wordt ingevuld is de voorkeurswaarde 2m</t>
        </r>
      </text>
    </comment>
    <comment ref="D90" authorId="0">
      <text>
        <r>
          <rPr>
            <sz val="9"/>
            <rFont val="Tahoma"/>
            <family val="0"/>
          </rPr>
          <t>Vul in hoeveel m3 water er moet worden gereinigd.</t>
        </r>
      </text>
    </comment>
    <comment ref="A91" authorId="0">
      <text>
        <r>
          <rPr>
            <sz val="9"/>
            <rFont val="Tahoma"/>
            <family val="0"/>
          </rPr>
          <t>rioolwaterzuiveringsinstallatie</t>
        </r>
      </text>
    </comment>
    <comment ref="D91" authorId="0">
      <text>
        <r>
          <rPr>
            <sz val="9"/>
            <rFont val="Tahoma"/>
            <family val="0"/>
          </rPr>
          <t>Vul in hoeveel m3 water er naar de rioolwaterzuiveringsinstallatie moet worden afgevoerd.</t>
        </r>
      </text>
    </comment>
    <comment ref="A93" authorId="0">
      <text>
        <r>
          <rPr>
            <sz val="9"/>
            <rFont val="Tahoma"/>
            <family val="0"/>
          </rPr>
          <t>Vul hier het dieselgebruik van andere operaties die (fors) energie gebruiken.</t>
        </r>
      </text>
    </comment>
    <comment ref="C93" authorId="0">
      <text>
        <r>
          <rPr>
            <sz val="9"/>
            <rFont val="Tahoma"/>
            <family val="0"/>
          </rPr>
          <t>Vul in hoeveel tonnen diesel nodig is voor andere processen.</t>
        </r>
      </text>
    </comment>
    <comment ref="A94" authorId="0">
      <text>
        <r>
          <rPr>
            <sz val="9"/>
            <rFont val="Tahoma"/>
            <family val="0"/>
          </rPr>
          <t>Vul hier het elektriciteitsgebruik van andere operaties die (fors) energie gebruiken. Eenheid is MJ! 1 kWh komt overeen met 3.6 MJ.</t>
        </r>
      </text>
    </comment>
    <comment ref="D94" authorId="0">
      <text>
        <r>
          <rPr>
            <sz val="9"/>
            <rFont val="Tahoma"/>
            <family val="0"/>
          </rPr>
          <t>Vul hier het elektriciteitsgebruik van andere processen in MJ. 1 kWh komt overeen met 3.6 MJ.</t>
        </r>
      </text>
    </comment>
    <comment ref="A103" authorId="0">
      <text>
        <r>
          <rPr>
            <sz val="9"/>
            <rFont val="Tahoma"/>
            <family val="0"/>
          </rPr>
          <t>Oppervlaktewater emissies worden genormeerd met de grenswaarde uit de evaluatienota water. Als deze niet bekend zijn verschijnt er 'NB' in het venster.</t>
        </r>
      </text>
    </comment>
    <comment ref="B104" authorId="0">
      <text>
        <r>
          <rPr>
            <sz val="9"/>
            <rFont val="Tahoma"/>
            <family val="0"/>
          </rPr>
          <t>tussenwaarde in microgram/l</t>
        </r>
      </text>
    </comment>
    <comment ref="C104" authorId="0">
      <text>
        <r>
          <rPr>
            <sz val="9"/>
            <rFont val="Tahoma"/>
            <family val="0"/>
          </rPr>
          <t>concentratie in microgram/liter</t>
        </r>
      </text>
    </comment>
    <comment ref="D104" authorId="0">
      <text>
        <r>
          <rPr>
            <sz val="9"/>
            <rFont val="Tahoma"/>
            <family val="0"/>
          </rPr>
          <t>volume emissie in m3</t>
        </r>
      </text>
    </comment>
    <comment ref="B105" authorId="0">
      <text>
        <r>
          <rPr>
            <sz val="9"/>
            <rFont val="Tahoma"/>
            <family val="0"/>
          </rPr>
          <t>Waarde wordt opgehaald uit werkblad 'Normen' (druk eventueel op F9). 'NB' betekent Niet Bekend - vul dan een waarde in die apart is vastgesteld of die is afgeleid van de norm voor grondwater.</t>
        </r>
      </text>
    </comment>
    <comment ref="A121" authorId="0">
      <text>
        <r>
          <rPr>
            <sz val="9"/>
            <rFont val="Tahoma"/>
            <family val="0"/>
          </rPr>
          <t xml:space="preserve">Denk hierbij onder andere aan:
Afgevoerde grond
Afval grondreiniging
Actieve kool
Slib van waterzuivering
</t>
        </r>
      </text>
    </comment>
    <comment ref="A131"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B132" authorId="0">
      <text>
        <r>
          <rPr>
            <sz val="9"/>
            <rFont val="Tahoma"/>
            <family val="0"/>
          </rPr>
          <t>Indien gewenst kan onderscheid gemaakt worden tussen verschillende fases in het project, bijvoorbeeld afgraving en grondwatersanering. De waarden worden gewoon opgeteld.</t>
        </r>
      </text>
    </comment>
    <comment ref="C98" authorId="1">
      <text>
        <r>
          <rPr>
            <sz val="9"/>
            <rFont val="Tahoma"/>
            <family val="2"/>
          </rPr>
          <t>Gemiddeld energiegebruik per inwoner in Nederland in 1997 was ongeveer 200 GJ</t>
        </r>
        <r>
          <rPr>
            <sz val="9"/>
            <rFont val="Tahoma"/>
            <family val="0"/>
          </rPr>
          <t xml:space="preserve">
</t>
        </r>
      </text>
    </comment>
    <comment ref="C99" authorId="1">
      <text>
        <r>
          <rPr>
            <sz val="9"/>
            <rFont val="Tahoma"/>
            <family val="2"/>
          </rPr>
          <t>Emissies CO2, SO2 en NOx berekend met standaard LCA-omrekenfactoren en gerelateerd aan emissies per capita. Wegen elk even zwaar.</t>
        </r>
      </text>
    </comment>
    <comment ref="E41" authorId="1">
      <text>
        <r>
          <rPr>
            <sz val="9"/>
            <rFont val="Tahoma"/>
            <family val="2"/>
          </rPr>
          <t xml:space="preserve">Score per stof. Een Kubel is een m3 die gedurende een jaar is verontreinigd met 1 maal de tussenwaarde van de betreffende stof.
500 kubel is dus 500m3 met 1 maal de tusenwaarde of 5 m3 met 100 maal de tussenwaarde.
</t>
        </r>
      </text>
    </comment>
    <comment ref="E104" authorId="1">
      <text>
        <r>
          <rPr>
            <sz val="9"/>
            <rFont val="Tahoma"/>
            <family val="2"/>
          </rPr>
          <t xml:space="preserve">Score per stof. Een Kubel is een m3 die is verontreinigd met 1 maal de tussenwaarde van de betreffende stof.
500 kubel is dus 500m3 met 1 maal de tusenwaarde of 5 m3 met 100 maal de tussenwaarde.
</t>
        </r>
      </text>
    </comment>
    <comment ref="D23"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D41"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H23" authorId="1">
      <text>
        <r>
          <rPr>
            <sz val="9"/>
            <rFont val="Tahoma"/>
            <family val="2"/>
          </rPr>
          <t>Aaname is dat de bodemdichtheid 1700 kg/m3  bedraagt.
De vracht dient slechts ter controle en wordt verder niet gebruikt in de berekeningen.</t>
        </r>
      </text>
    </comment>
    <comment ref="A23" authorId="2">
      <text>
        <r>
          <rPr>
            <sz val="10"/>
            <rFont val="Tahoma"/>
            <family val="2"/>
          </rPr>
          <t>De stoffen worden gekopieerd uit het werkblad 'Huidig'. Vul dit werkblad dus eerst in.</t>
        </r>
      </text>
    </comment>
  </commentList>
</comments>
</file>

<file path=xl/comments5.xml><?xml version="1.0" encoding="utf-8"?>
<comments xmlns="http://schemas.openxmlformats.org/spreadsheetml/2006/main">
  <authors>
    <author>A satisfied Microsoft Office user</author>
    <author>IVM</author>
    <author>Michiel en Stephanie</author>
  </authors>
  <commentList>
    <comment ref="A6"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A7"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A8" authorId="0">
      <text>
        <r>
          <rPr>
            <sz val="9"/>
            <rFont val="Tahoma"/>
            <family val="0"/>
          </rPr>
          <t>Dit is de netto hoeveelheid grond die verloren gaat, ongeacht de hoeveelheid verontreiniging die erin zit.</t>
        </r>
      </text>
    </comment>
    <comment ref="A9" authorId="0">
      <text>
        <r>
          <rPr>
            <sz val="9"/>
            <rFont val="Tahoma"/>
            <family val="0"/>
          </rPr>
          <t>Dit is de netto hoeveelheid grondwater die voor de sanering verloren gaat ongeacht hoeveel verontreiniging daar in zit.</t>
        </r>
      </text>
    </comment>
    <comment ref="A10"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t>
        </r>
      </text>
    </comment>
    <comment ref="A11" authorId="0">
      <text>
        <r>
          <rPr>
            <sz val="9"/>
            <rFont val="Tahoma"/>
            <family val="0"/>
          </rPr>
          <t>Oppervlaktewater emissies worden genormeerd met de grenswaarde uit de evaluatienota water.</t>
        </r>
      </text>
    </comment>
    <comment ref="A12" authorId="0">
      <text>
        <r>
          <rPr>
            <sz val="9"/>
            <rFont val="Tahoma"/>
            <family val="0"/>
          </rPr>
          <t>Denk hierbij onder andere aan:
Afgevoerde grond
Afval grondreiniging
Actieve kool
Slib van waterzuivering</t>
        </r>
      </text>
    </comment>
    <comment ref="A13"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A22"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B23" authorId="0">
      <text>
        <r>
          <rPr>
            <sz val="9"/>
            <rFont val="Tahoma"/>
            <family val="0"/>
          </rPr>
          <t>streefwaarde</t>
        </r>
      </text>
    </comment>
    <comment ref="C23" authorId="0">
      <text>
        <r>
          <rPr>
            <sz val="9"/>
            <rFont val="Tahoma"/>
            <family val="0"/>
          </rPr>
          <t>interventiewaarde</t>
        </r>
      </text>
    </comment>
    <comment ref="E23" authorId="0">
      <text>
        <r>
          <rPr>
            <sz val="9"/>
            <rFont val="Tahoma"/>
            <family val="0"/>
          </rPr>
          <t>lutum</t>
        </r>
      </text>
    </comment>
    <comment ref="F23" authorId="0">
      <text>
        <r>
          <rPr>
            <sz val="9"/>
            <rFont val="Tahoma"/>
            <family val="0"/>
          </rPr>
          <t>Organisch stof- of humusgehalte; de waarden zijn automatisch gecorrigeerd want ze moeten tussen de 2% en 30% liggen; bij PAKs tussen 10% en 30%. Het organisch stofgehalte is gebruikt om de i- en de s-waarden te corrigeren.</t>
        </r>
      </text>
    </comment>
    <comment ref="G23" authorId="0">
      <text>
        <r>
          <rPr>
            <sz val="9"/>
            <rFont val="Tahoma"/>
            <family val="0"/>
          </rPr>
          <t xml:space="preserve">Score per stof. Een Kubel is een m3 die gedurende een jaar is verontreinigd met 1 maal de tussenwaarde van de betreffende stof.
500 kubel is dus 500m3 met 1 maal de tusenwaarde of 5 m3 met 100 maal de tussenwaarde.
</t>
        </r>
      </text>
    </comment>
    <comment ref="J23" authorId="0">
      <text>
        <r>
          <rPr>
            <sz val="9"/>
            <rFont val="Tahoma"/>
            <family val="0"/>
          </rPr>
          <t>score per component</t>
        </r>
      </text>
    </comment>
    <comment ref="A40"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B41" authorId="0">
      <text>
        <r>
          <rPr>
            <sz val="9"/>
            <rFont val="Tahoma"/>
            <family val="0"/>
          </rPr>
          <t>streefwaarde</t>
        </r>
      </text>
    </comment>
    <comment ref="C41" authorId="0">
      <text>
        <r>
          <rPr>
            <sz val="9"/>
            <rFont val="Tahoma"/>
            <family val="0"/>
          </rPr>
          <t>interventiewaarde</t>
        </r>
      </text>
    </comment>
    <comment ref="J41" authorId="0">
      <text>
        <r>
          <rPr>
            <sz val="9"/>
            <rFont val="Tahoma"/>
            <family val="0"/>
          </rPr>
          <t>grondwatervolume verontreinigd met deze component</t>
        </r>
      </text>
    </comment>
    <comment ref="A58" authorId="0">
      <text>
        <r>
          <rPr>
            <sz val="9"/>
            <rFont val="Tahoma"/>
            <family val="0"/>
          </rPr>
          <t>Dit is de netto hoeveelheid grond die verloren gaat, ongeacht de hoeveelheid verontreiniging die erin zit.</t>
        </r>
      </text>
    </comment>
    <comment ref="A59" authorId="0">
      <text>
        <r>
          <rPr>
            <sz val="9"/>
            <rFont val="Tahoma"/>
            <family val="0"/>
          </rPr>
          <t>hoeveelheid grond die van elders wordt aangewend</t>
        </r>
      </text>
    </comment>
    <comment ref="A60" authorId="0">
      <text>
        <r>
          <rPr>
            <sz val="9"/>
            <rFont val="Tahoma"/>
            <family val="0"/>
          </rPr>
          <t>hoeveelheid afgegraven grond die elders wordt hergebruikt</t>
        </r>
      </text>
    </comment>
    <comment ref="A66" authorId="0">
      <text>
        <r>
          <rPr>
            <sz val="9"/>
            <rFont val="Tahoma"/>
            <family val="0"/>
          </rPr>
          <t>Dit is de netto hoeveelheid grondwater die voor de sanering verloren gaat ongeacht hoeveel verontreiniging daar in zit.</t>
        </r>
      </text>
    </comment>
    <comment ref="A67" authorId="0">
      <text>
        <r>
          <rPr>
            <sz val="9"/>
            <rFont val="Tahoma"/>
            <family val="0"/>
          </rPr>
          <t>opgepompte hoeveelheid grondwater (al dan niet verontreinigd)</t>
        </r>
      </text>
    </comment>
    <comment ref="A68" authorId="0">
      <text>
        <r>
          <rPr>
            <sz val="9"/>
            <rFont val="Tahoma"/>
            <family val="0"/>
          </rPr>
          <t>Hoeveelheid opgepompt grondwater die na zuivering weer wordt teruggevoerd naar de grondwatervoorraad.</t>
        </r>
      </text>
    </comment>
    <comment ref="A74"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
Vul bij 12 en 13 andere energiegebruikende operaties in.</t>
        </r>
      </text>
    </comment>
    <comment ref="E75" authorId="0">
      <text>
        <r>
          <rPr>
            <sz val="9"/>
            <rFont val="Tahoma"/>
            <family val="0"/>
          </rPr>
          <t>Gegeven waarden zijn slechts defaults. Voor specifieke locaties kunnen ze worden vervangen door preciezere kentallen.</t>
        </r>
      </text>
    </comment>
    <comment ref="F75" authorId="0">
      <text>
        <r>
          <rPr>
            <sz val="9"/>
            <rFont val="Tahoma"/>
            <family val="0"/>
          </rPr>
          <t>Eenheid bedoeld in kolom direct links van deze. Bijvoorbeeld bij 1, is het dieselgebruik 35 MJ/ton afgegraven grond.</t>
        </r>
      </text>
    </comment>
    <comment ref="C77" authorId="0">
      <text>
        <r>
          <rPr>
            <sz val="9"/>
            <rFont val="Tahoma"/>
            <family val="0"/>
          </rPr>
          <t>Vul in hoeveel ton grond wordt afgegraven.</t>
        </r>
      </text>
    </comment>
    <comment ref="C78" authorId="0">
      <text>
        <r>
          <rPr>
            <sz val="9"/>
            <rFont val="Tahoma"/>
            <family val="0"/>
          </rPr>
          <t>Vul in hoeveel ton grond moet worden vervoerd</t>
        </r>
      </text>
    </comment>
    <comment ref="A79" authorId="0">
      <text>
        <r>
          <rPr>
            <sz val="9"/>
            <rFont val="Tahoma"/>
            <family val="0"/>
          </rPr>
          <t>enkele reis</t>
        </r>
      </text>
    </comment>
    <comment ref="C79" authorId="0">
      <text>
        <r>
          <rPr>
            <sz val="9"/>
            <rFont val="Tahoma"/>
            <family val="0"/>
          </rPr>
          <t>Vervoersafstand in km (enekele reis)</t>
        </r>
      </text>
    </comment>
    <comment ref="C80" authorId="0">
      <text>
        <r>
          <rPr>
            <sz val="9"/>
            <rFont val="Tahoma"/>
            <family val="0"/>
          </rPr>
          <t>Vul in hoeveel ton grond moet worden aangevoerd.</t>
        </r>
      </text>
    </comment>
    <comment ref="A81" authorId="0">
      <text>
        <r>
          <rPr>
            <sz val="9"/>
            <rFont val="Tahoma"/>
            <family val="0"/>
          </rPr>
          <t>enkele reis</t>
        </r>
      </text>
    </comment>
    <comment ref="C81" authorId="0">
      <text>
        <r>
          <rPr>
            <sz val="9"/>
            <rFont val="Tahoma"/>
            <family val="0"/>
          </rPr>
          <t>Vervoersafstand in km, enkele reis.</t>
        </r>
      </text>
    </comment>
    <comment ref="D82" authorId="0">
      <text>
        <r>
          <rPr>
            <sz val="9"/>
            <rFont val="Tahoma"/>
            <family val="0"/>
          </rPr>
          <t>Vul in hoeveel ton grond moet worden gereinigd.</t>
        </r>
      </text>
    </comment>
    <comment ref="D83" authorId="0">
      <text>
        <r>
          <rPr>
            <sz val="9"/>
            <rFont val="Tahoma"/>
            <family val="0"/>
          </rPr>
          <t>Vul in hoeveel ton grond moet worden gereinigd.</t>
        </r>
      </text>
    </comment>
    <comment ref="D84" authorId="0">
      <text>
        <r>
          <rPr>
            <sz val="9"/>
            <rFont val="Tahoma"/>
            <family val="0"/>
          </rPr>
          <t>Vul in hoeveel ton grond moet worden gereinigd.</t>
        </r>
      </text>
    </comment>
    <comment ref="D85" authorId="0">
      <text>
        <r>
          <rPr>
            <sz val="9"/>
            <rFont val="Tahoma"/>
            <family val="0"/>
          </rPr>
          <t>Vul in hoeveel ton grond moet worden gereinigd.</t>
        </r>
      </text>
    </comment>
    <comment ref="E85" authorId="0">
      <text>
        <r>
          <rPr>
            <sz val="9"/>
            <rFont val="Tahoma"/>
            <family val="0"/>
          </rPr>
          <t>Energiegebruik in MJ per ton grond.</t>
        </r>
      </text>
    </comment>
    <comment ref="D86" authorId="0">
      <text>
        <r>
          <rPr>
            <sz val="9"/>
            <rFont val="Tahoma"/>
            <family val="0"/>
          </rPr>
          <t>Vul in hoeveel m3 er moet worden opgepompt.</t>
        </r>
      </text>
    </comment>
    <comment ref="A87" authorId="0">
      <text>
        <r>
          <rPr>
            <sz val="9"/>
            <rFont val="Tahoma"/>
            <family val="0"/>
          </rPr>
          <t>indien niets wordt ingevuld is de voorkeurswaarde 2m</t>
        </r>
      </text>
    </comment>
    <comment ref="C88" authorId="0">
      <text>
        <r>
          <rPr>
            <sz val="9"/>
            <rFont val="Tahoma"/>
            <family val="0"/>
          </rPr>
          <t>Vul in hoeveel m3 er moet worden opgepompt.</t>
        </r>
      </text>
    </comment>
    <comment ref="E88" authorId="0">
      <text>
        <r>
          <rPr>
            <sz val="9"/>
            <rFont val="Tahoma"/>
            <family val="0"/>
          </rPr>
          <t>indien niets wordt ingevuld is de voorkeurswaarde 0.02</t>
        </r>
      </text>
    </comment>
    <comment ref="A89" authorId="0">
      <text>
        <r>
          <rPr>
            <sz val="9"/>
            <rFont val="Tahoma"/>
            <family val="0"/>
          </rPr>
          <t>indien niets wordt ingevuld is de voorkeurswaarde 2m</t>
        </r>
      </text>
    </comment>
    <comment ref="D90" authorId="0">
      <text>
        <r>
          <rPr>
            <sz val="9"/>
            <rFont val="Tahoma"/>
            <family val="0"/>
          </rPr>
          <t>Vul in hoeveel m3 water er moet worden gereinigd.</t>
        </r>
      </text>
    </comment>
    <comment ref="A91" authorId="0">
      <text>
        <r>
          <rPr>
            <sz val="9"/>
            <rFont val="Tahoma"/>
            <family val="0"/>
          </rPr>
          <t>rioolwaterzuiveringsinstallatie</t>
        </r>
      </text>
    </comment>
    <comment ref="D91" authorId="0">
      <text>
        <r>
          <rPr>
            <sz val="9"/>
            <rFont val="Tahoma"/>
            <family val="0"/>
          </rPr>
          <t>Vul in hoeveel m3 water er naar de rioolwaterzuiveringsinstallatie moet worden afgevoerd.</t>
        </r>
      </text>
    </comment>
    <comment ref="A93" authorId="0">
      <text>
        <r>
          <rPr>
            <sz val="9"/>
            <rFont val="Tahoma"/>
            <family val="0"/>
          </rPr>
          <t>Vul hier het dieselgebruik van andere operaties die (fors) energie gebruiken.</t>
        </r>
      </text>
    </comment>
    <comment ref="C93" authorId="0">
      <text>
        <r>
          <rPr>
            <sz val="9"/>
            <rFont val="Tahoma"/>
            <family val="0"/>
          </rPr>
          <t>Vul in hoeveel tonnen diesel nodig is voor andere processen.</t>
        </r>
      </text>
    </comment>
    <comment ref="A94" authorId="0">
      <text>
        <r>
          <rPr>
            <sz val="9"/>
            <rFont val="Tahoma"/>
            <family val="0"/>
          </rPr>
          <t>Vul hier het elektriciteitsgebruik van andere operaties die (fors) energie gebruiken. Eenheid is MJ! 1 kWh komt overeen met 3.6 MJ.</t>
        </r>
      </text>
    </comment>
    <comment ref="D94" authorId="0">
      <text>
        <r>
          <rPr>
            <sz val="9"/>
            <rFont val="Tahoma"/>
            <family val="0"/>
          </rPr>
          <t>Vul hier het elektriciteitsgebruik van andere processen in MJ. 1 kWh komt overeen met 3.6 MJ.</t>
        </r>
      </text>
    </comment>
    <comment ref="A103" authorId="0">
      <text>
        <r>
          <rPr>
            <sz val="9"/>
            <rFont val="Tahoma"/>
            <family val="0"/>
          </rPr>
          <t>Oppervlaktewater emissies worden genormeerd met de grenswaarde uit de evaluatienota water. Als deze niet bekend zijn verschijnt er 'NB' in het venster.</t>
        </r>
      </text>
    </comment>
    <comment ref="B104" authorId="0">
      <text>
        <r>
          <rPr>
            <sz val="9"/>
            <rFont val="Tahoma"/>
            <family val="0"/>
          </rPr>
          <t>grenswaarde in microgram/l</t>
        </r>
      </text>
    </comment>
    <comment ref="C104" authorId="0">
      <text>
        <r>
          <rPr>
            <sz val="9"/>
            <rFont val="Tahoma"/>
            <family val="0"/>
          </rPr>
          <t>concentratie in microgram/liter</t>
        </r>
      </text>
    </comment>
    <comment ref="D104" authorId="0">
      <text>
        <r>
          <rPr>
            <sz val="9"/>
            <rFont val="Tahoma"/>
            <family val="0"/>
          </rPr>
          <t>volume emissie in m3</t>
        </r>
      </text>
    </comment>
    <comment ref="B105" authorId="0">
      <text>
        <r>
          <rPr>
            <sz val="9"/>
            <rFont val="Tahoma"/>
            <family val="0"/>
          </rPr>
          <t>Waarde wordt opgehaald uit werkblad 'Normen' (druk eventueel op F9). 'NB' betekent Niet Bekend - vul dan een waarde in die apart is vastgesteld of die is afgeleid van de norm voor grondwater.</t>
        </r>
      </text>
    </comment>
    <comment ref="A121" authorId="0">
      <text>
        <r>
          <rPr>
            <sz val="9"/>
            <rFont val="Tahoma"/>
            <family val="0"/>
          </rPr>
          <t xml:space="preserve">Denk hierbij onder andere aan:
Afgevoerde grond
Afval grondreiniging
Actieve kool
Slib van waterzuivering
</t>
        </r>
      </text>
    </comment>
    <comment ref="A131"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B132" authorId="0">
      <text>
        <r>
          <rPr>
            <sz val="9"/>
            <rFont val="Tahoma"/>
            <family val="0"/>
          </rPr>
          <t>Indien gewenst kan onderscheid gemaakt worden tussen verschillende fases in het project, bijvoorbeeld afgraving en grondwatersanering. De waarden worden gewoon opgeteld.</t>
        </r>
      </text>
    </comment>
    <comment ref="C98" authorId="1">
      <text>
        <r>
          <rPr>
            <sz val="9"/>
            <rFont val="Tahoma"/>
            <family val="2"/>
          </rPr>
          <t>Gemiddeld energiegebruik per inwoner in Nederland in 1997 was ongeveer 200 GJ</t>
        </r>
        <r>
          <rPr>
            <sz val="9"/>
            <rFont val="Tahoma"/>
            <family val="0"/>
          </rPr>
          <t xml:space="preserve">
</t>
        </r>
      </text>
    </comment>
    <comment ref="C99" authorId="1">
      <text>
        <r>
          <rPr>
            <sz val="9"/>
            <rFont val="Tahoma"/>
            <family val="2"/>
          </rPr>
          <t>Emissies CO2, SO2 en NOx berekend met standaard LCA-omrekenfactoren en gerelateerd aan emissies per capita. Wegen elk even zwaar.</t>
        </r>
      </text>
    </comment>
    <comment ref="E41" authorId="1">
      <text>
        <r>
          <rPr>
            <sz val="9"/>
            <rFont val="Tahoma"/>
            <family val="2"/>
          </rPr>
          <t xml:space="preserve">Score per stof. Een Kubel is een m3 die gedurende een jaar is verontreinigd met 1 maal de tussenwaarde van de betreffende stof.
500 kubel is dus 500m3 met 1 maal de tusenwaarde of 5 m3 met 100 maal de tussenwaarde.
</t>
        </r>
      </text>
    </comment>
    <comment ref="E104" authorId="1">
      <text>
        <r>
          <rPr>
            <sz val="9"/>
            <rFont val="Tahoma"/>
            <family val="2"/>
          </rPr>
          <t xml:space="preserve">Score per stof. Een Kubel is een m3 die is verontreinigd met 1 maal de tussenwaarde van de betreffende stof.
500 kubel is dus 500m3 met 1 maal de tusenwaarde of 5 m3 met 100 maal de tussenwaarde.
</t>
        </r>
      </text>
    </comment>
    <comment ref="D23"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D41"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H23" authorId="1">
      <text>
        <r>
          <rPr>
            <sz val="9"/>
            <rFont val="Tahoma"/>
            <family val="2"/>
          </rPr>
          <t>Aaname is dat de bodemdichtheid 1700 kg/m3  bedraagt.
De vracht dient slechts ter controle en wordt verder niet gebruikt in de berekeningen.</t>
        </r>
      </text>
    </comment>
    <comment ref="A23" authorId="2">
      <text>
        <r>
          <rPr>
            <sz val="10"/>
            <rFont val="Tahoma"/>
            <family val="2"/>
          </rPr>
          <t>De stoffen worden gekopieerd uit het werkblad 'Huidig'. Vul dit werkblad dus eerst in.</t>
        </r>
      </text>
    </comment>
  </commentList>
</comments>
</file>

<file path=xl/comments6.xml><?xml version="1.0" encoding="utf-8"?>
<comments xmlns="http://schemas.openxmlformats.org/spreadsheetml/2006/main">
  <authors>
    <author>A satisfied Microsoft Office user</author>
    <author>IVM</author>
    <author>Michiel en Stephanie</author>
  </authors>
  <commentList>
    <comment ref="A6"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A7"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A8" authorId="0">
      <text>
        <r>
          <rPr>
            <sz val="9"/>
            <rFont val="Tahoma"/>
            <family val="0"/>
          </rPr>
          <t>Dit is de netto hoeveelheid grond die verloren gaat, ongeacht de hoeveelheid verontreiniging die erin zit.</t>
        </r>
      </text>
    </comment>
    <comment ref="A9" authorId="0">
      <text>
        <r>
          <rPr>
            <sz val="9"/>
            <rFont val="Tahoma"/>
            <family val="0"/>
          </rPr>
          <t>Dit is de netto hoeveelheid grondwater die voor de sanering verloren gaat ongeacht hoeveel verontreiniging daar in zit.</t>
        </r>
      </text>
    </comment>
    <comment ref="A10"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t>
        </r>
      </text>
    </comment>
    <comment ref="A11" authorId="0">
      <text>
        <r>
          <rPr>
            <sz val="9"/>
            <rFont val="Tahoma"/>
            <family val="0"/>
          </rPr>
          <t>Oppervlaktewater emissies worden genormeerd met de grenswaarde uit de evaluatienota water.</t>
        </r>
      </text>
    </comment>
    <comment ref="A12" authorId="0">
      <text>
        <r>
          <rPr>
            <sz val="9"/>
            <rFont val="Tahoma"/>
            <family val="0"/>
          </rPr>
          <t>Denk hierbij onder andere aan:
Afgevoerde grond
Afval grondreiniging
Actieve kool
Slib van waterzuivering</t>
        </r>
      </text>
    </comment>
    <comment ref="A13"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A22"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B23" authorId="0">
      <text>
        <r>
          <rPr>
            <sz val="9"/>
            <rFont val="Tahoma"/>
            <family val="0"/>
          </rPr>
          <t>streefwaarde</t>
        </r>
      </text>
    </comment>
    <comment ref="C23" authorId="0">
      <text>
        <r>
          <rPr>
            <sz val="9"/>
            <rFont val="Tahoma"/>
            <family val="0"/>
          </rPr>
          <t>interventiewaarde</t>
        </r>
      </text>
    </comment>
    <comment ref="E23" authorId="0">
      <text>
        <r>
          <rPr>
            <sz val="9"/>
            <rFont val="Tahoma"/>
            <family val="0"/>
          </rPr>
          <t>lutum</t>
        </r>
      </text>
    </comment>
    <comment ref="F23" authorId="0">
      <text>
        <r>
          <rPr>
            <sz val="9"/>
            <rFont val="Tahoma"/>
            <family val="0"/>
          </rPr>
          <t>Organisch stof- of humusgehalte; de waarden zijn automatisch gecorrigeerd want ze moeten tussen de 2% en 30% liggen; bij PAKs tussen 10% en 30%. Het organisch stofgehalte is gebruikt om de i- en de s-waarden te corrigeren.</t>
        </r>
      </text>
    </comment>
    <comment ref="G23" authorId="0">
      <text>
        <r>
          <rPr>
            <sz val="9"/>
            <rFont val="Tahoma"/>
            <family val="0"/>
          </rPr>
          <t xml:space="preserve">Score per stof. Een Kubel is een m3 die gedurende een jaar is verontreinigd met 1 maal de tussenwaarde van de betreffende stof.
500 kubel is dus 500m3 met 1 maal de tusenwaarde of 5 m3 met 100 maal de tussenwaarde.
</t>
        </r>
      </text>
    </comment>
    <comment ref="J23" authorId="0">
      <text>
        <r>
          <rPr>
            <sz val="9"/>
            <rFont val="Tahoma"/>
            <family val="0"/>
          </rPr>
          <t>score per component</t>
        </r>
      </text>
    </comment>
    <comment ref="A40"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B41" authorId="0">
      <text>
        <r>
          <rPr>
            <sz val="9"/>
            <rFont val="Tahoma"/>
            <family val="0"/>
          </rPr>
          <t>streefwaarde</t>
        </r>
      </text>
    </comment>
    <comment ref="C41" authorId="0">
      <text>
        <r>
          <rPr>
            <sz val="9"/>
            <rFont val="Tahoma"/>
            <family val="0"/>
          </rPr>
          <t>interventiewaarde</t>
        </r>
      </text>
    </comment>
    <comment ref="J41" authorId="0">
      <text>
        <r>
          <rPr>
            <sz val="9"/>
            <rFont val="Tahoma"/>
            <family val="0"/>
          </rPr>
          <t>grondwatervolume verontreinigd met deze component</t>
        </r>
      </text>
    </comment>
    <comment ref="A58" authorId="0">
      <text>
        <r>
          <rPr>
            <sz val="9"/>
            <rFont val="Tahoma"/>
            <family val="0"/>
          </rPr>
          <t>Dit is de netto hoeveelheid grond die verloren gaat, ongeacht de hoeveelheid verontreiniging die erin zit.</t>
        </r>
      </text>
    </comment>
    <comment ref="A59" authorId="0">
      <text>
        <r>
          <rPr>
            <sz val="9"/>
            <rFont val="Tahoma"/>
            <family val="0"/>
          </rPr>
          <t>hoeveelheid grond die van elders wordt aangewend</t>
        </r>
      </text>
    </comment>
    <comment ref="A60" authorId="0">
      <text>
        <r>
          <rPr>
            <sz val="9"/>
            <rFont val="Tahoma"/>
            <family val="0"/>
          </rPr>
          <t>hoeveelheid afgegraven grond die elders wordt hergebruikt</t>
        </r>
      </text>
    </comment>
    <comment ref="A66" authorId="0">
      <text>
        <r>
          <rPr>
            <sz val="9"/>
            <rFont val="Tahoma"/>
            <family val="0"/>
          </rPr>
          <t>Dit is de netto hoeveelheid grondwater die voor de sanering verloren gaat ongeacht hoeveel verontreiniging daar in zit.</t>
        </r>
      </text>
    </comment>
    <comment ref="A67" authorId="0">
      <text>
        <r>
          <rPr>
            <sz val="9"/>
            <rFont val="Tahoma"/>
            <family val="0"/>
          </rPr>
          <t>opgepompte hoeveelheid grondwater (al dan niet verontreinigd)</t>
        </r>
      </text>
    </comment>
    <comment ref="A68" authorId="0">
      <text>
        <r>
          <rPr>
            <sz val="9"/>
            <rFont val="Tahoma"/>
            <family val="0"/>
          </rPr>
          <t>Hoeveelheid opgepompt grondwater die na zuivering weer wordt teruggevoerd naar de grondwatervoorraad.</t>
        </r>
      </text>
    </comment>
    <comment ref="A74"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
Vul bij 12 en 13 andere energiegebruikende operaties in.</t>
        </r>
      </text>
    </comment>
    <comment ref="E75" authorId="0">
      <text>
        <r>
          <rPr>
            <sz val="9"/>
            <rFont val="Tahoma"/>
            <family val="0"/>
          </rPr>
          <t>Gegeven waarden zijn slechts defaults. Voor specifieke locaties kunnen ze worden vervangen door preciezere kentallen.</t>
        </r>
      </text>
    </comment>
    <comment ref="F75" authorId="0">
      <text>
        <r>
          <rPr>
            <sz val="9"/>
            <rFont val="Tahoma"/>
            <family val="0"/>
          </rPr>
          <t>Eenheid bedoeld in kolom direct links van deze. Bijvoorbeeld bij 1, is het dieselgebruik 35 MJ/ton afgegraven grond.</t>
        </r>
      </text>
    </comment>
    <comment ref="C77" authorId="0">
      <text>
        <r>
          <rPr>
            <sz val="9"/>
            <rFont val="Tahoma"/>
            <family val="0"/>
          </rPr>
          <t>Vul in hoeveel ton grond wordt afgegraven.</t>
        </r>
      </text>
    </comment>
    <comment ref="C78" authorId="0">
      <text>
        <r>
          <rPr>
            <sz val="9"/>
            <rFont val="Tahoma"/>
            <family val="0"/>
          </rPr>
          <t>Vul in hoeveel ton grond moet worden vervoerd</t>
        </r>
      </text>
    </comment>
    <comment ref="A79" authorId="0">
      <text>
        <r>
          <rPr>
            <sz val="9"/>
            <rFont val="Tahoma"/>
            <family val="0"/>
          </rPr>
          <t>enkele reis</t>
        </r>
      </text>
    </comment>
    <comment ref="C79" authorId="0">
      <text>
        <r>
          <rPr>
            <sz val="9"/>
            <rFont val="Tahoma"/>
            <family val="0"/>
          </rPr>
          <t>Vervoersafstand in km (enekele reis)</t>
        </r>
      </text>
    </comment>
    <comment ref="C80" authorId="0">
      <text>
        <r>
          <rPr>
            <sz val="9"/>
            <rFont val="Tahoma"/>
            <family val="0"/>
          </rPr>
          <t>Vul in hoeveel ton grond moet worden aangevoerd.</t>
        </r>
      </text>
    </comment>
    <comment ref="A81" authorId="0">
      <text>
        <r>
          <rPr>
            <sz val="9"/>
            <rFont val="Tahoma"/>
            <family val="0"/>
          </rPr>
          <t>enkele reis</t>
        </r>
      </text>
    </comment>
    <comment ref="C81" authorId="0">
      <text>
        <r>
          <rPr>
            <sz val="9"/>
            <rFont val="Tahoma"/>
            <family val="0"/>
          </rPr>
          <t>Vervoersafstand in km, enkele reis.</t>
        </r>
      </text>
    </comment>
    <comment ref="D82" authorId="0">
      <text>
        <r>
          <rPr>
            <sz val="9"/>
            <rFont val="Tahoma"/>
            <family val="0"/>
          </rPr>
          <t>Vul in hoeveel ton grond moet worden gereinigd.</t>
        </r>
      </text>
    </comment>
    <comment ref="D83" authorId="0">
      <text>
        <r>
          <rPr>
            <sz val="9"/>
            <rFont val="Tahoma"/>
            <family val="0"/>
          </rPr>
          <t>Vul in hoeveel ton grond moet worden gereinigd.</t>
        </r>
      </text>
    </comment>
    <comment ref="D84" authorId="0">
      <text>
        <r>
          <rPr>
            <sz val="9"/>
            <rFont val="Tahoma"/>
            <family val="0"/>
          </rPr>
          <t>Vul in hoeveel ton grond moet worden gereinigd.</t>
        </r>
      </text>
    </comment>
    <comment ref="D85" authorId="0">
      <text>
        <r>
          <rPr>
            <sz val="9"/>
            <rFont val="Tahoma"/>
            <family val="0"/>
          </rPr>
          <t>Vul in hoeveel ton grond moet worden gereinigd.</t>
        </r>
      </text>
    </comment>
    <comment ref="E85" authorId="0">
      <text>
        <r>
          <rPr>
            <sz val="9"/>
            <rFont val="Tahoma"/>
            <family val="0"/>
          </rPr>
          <t>Energiegebruik in MJ per ton grond.</t>
        </r>
      </text>
    </comment>
    <comment ref="D86" authorId="0">
      <text>
        <r>
          <rPr>
            <sz val="9"/>
            <rFont val="Tahoma"/>
            <family val="0"/>
          </rPr>
          <t>Vul in hoeveel m3 er moet worden opgepompt.</t>
        </r>
      </text>
    </comment>
    <comment ref="A87" authorId="0">
      <text>
        <r>
          <rPr>
            <sz val="9"/>
            <rFont val="Tahoma"/>
            <family val="0"/>
          </rPr>
          <t>indien niets wordt ingevuld is de voorkeurswaarde 2m</t>
        </r>
      </text>
    </comment>
    <comment ref="C88" authorId="0">
      <text>
        <r>
          <rPr>
            <sz val="9"/>
            <rFont val="Tahoma"/>
            <family val="0"/>
          </rPr>
          <t>Vul in hoeveel m3 er moet worden opgepompt.</t>
        </r>
      </text>
    </comment>
    <comment ref="E88" authorId="0">
      <text>
        <r>
          <rPr>
            <sz val="9"/>
            <rFont val="Tahoma"/>
            <family val="0"/>
          </rPr>
          <t>indien niets wordt ingevuld is de voorkeurswaarde 0.02</t>
        </r>
      </text>
    </comment>
    <comment ref="A89" authorId="0">
      <text>
        <r>
          <rPr>
            <sz val="9"/>
            <rFont val="Tahoma"/>
            <family val="0"/>
          </rPr>
          <t>indien niets wordt ingevuld is de voorkeurswaarde 2m</t>
        </r>
      </text>
    </comment>
    <comment ref="D90" authorId="0">
      <text>
        <r>
          <rPr>
            <sz val="9"/>
            <rFont val="Tahoma"/>
            <family val="0"/>
          </rPr>
          <t>Vul in hoeveel m3 water er moet worden gereinigd.</t>
        </r>
      </text>
    </comment>
    <comment ref="A91" authorId="0">
      <text>
        <r>
          <rPr>
            <sz val="9"/>
            <rFont val="Tahoma"/>
            <family val="0"/>
          </rPr>
          <t>rioolwaterzuiveringsinstallatie</t>
        </r>
      </text>
    </comment>
    <comment ref="D91" authorId="0">
      <text>
        <r>
          <rPr>
            <sz val="9"/>
            <rFont val="Tahoma"/>
            <family val="0"/>
          </rPr>
          <t>Vul in hoeveel m3 water er naar de rioolwaterzuiveringsinstallatie moet worden afgevoerd.</t>
        </r>
      </text>
    </comment>
    <comment ref="A93" authorId="0">
      <text>
        <r>
          <rPr>
            <sz val="9"/>
            <rFont val="Tahoma"/>
            <family val="0"/>
          </rPr>
          <t>Vul hier het dieselgebruik van andere operaties die (fors) energie gebruiken.</t>
        </r>
      </text>
    </comment>
    <comment ref="C93" authorId="0">
      <text>
        <r>
          <rPr>
            <sz val="9"/>
            <rFont val="Tahoma"/>
            <family val="0"/>
          </rPr>
          <t>Vul in hoeveel tonnen diesel nodig is voor andere processen.</t>
        </r>
      </text>
    </comment>
    <comment ref="A94" authorId="0">
      <text>
        <r>
          <rPr>
            <sz val="9"/>
            <rFont val="Tahoma"/>
            <family val="0"/>
          </rPr>
          <t>Vul hier het elektriciteitsgebruik van andere operaties die (fors) energie gebruiken. Eenheid is MJ! 1 kWh komt overeen met 3.6 MJ.</t>
        </r>
      </text>
    </comment>
    <comment ref="D94" authorId="0">
      <text>
        <r>
          <rPr>
            <sz val="9"/>
            <rFont val="Tahoma"/>
            <family val="0"/>
          </rPr>
          <t>Vul hier het elektriciteitsgebruik van andere processen in MJ. 1 kWh komt overeen met 3.6 MJ.</t>
        </r>
      </text>
    </comment>
    <comment ref="A103" authorId="0">
      <text>
        <r>
          <rPr>
            <sz val="9"/>
            <rFont val="Tahoma"/>
            <family val="0"/>
          </rPr>
          <t>Oppervlaktewater emissies worden genormeerd met de grenswaarde uit de evaluatienota water. Als deze niet bekend zijn verschijnt er 'NB' in het venster.</t>
        </r>
      </text>
    </comment>
    <comment ref="B104" authorId="0">
      <text>
        <r>
          <rPr>
            <sz val="9"/>
            <rFont val="Tahoma"/>
            <family val="0"/>
          </rPr>
          <t>grenswaarde in microgram/l</t>
        </r>
      </text>
    </comment>
    <comment ref="C104" authorId="0">
      <text>
        <r>
          <rPr>
            <sz val="9"/>
            <rFont val="Tahoma"/>
            <family val="0"/>
          </rPr>
          <t>concentratie in microgram/liter</t>
        </r>
      </text>
    </comment>
    <comment ref="D104" authorId="0">
      <text>
        <r>
          <rPr>
            <sz val="9"/>
            <rFont val="Tahoma"/>
            <family val="0"/>
          </rPr>
          <t>volume emissie in m3</t>
        </r>
      </text>
    </comment>
    <comment ref="B105" authorId="0">
      <text>
        <r>
          <rPr>
            <sz val="9"/>
            <rFont val="Tahoma"/>
            <family val="0"/>
          </rPr>
          <t>Waarde wordt opgehaald uit werkblad 'Normen' (druk eventueel op F9). 'NB' betekent Niet Bekend - vul dan een waarde in die apart is vastgesteld of die is afgeleid van de norm voor grondwater.</t>
        </r>
      </text>
    </comment>
    <comment ref="A121" authorId="0">
      <text>
        <r>
          <rPr>
            <sz val="9"/>
            <rFont val="Tahoma"/>
            <family val="0"/>
          </rPr>
          <t xml:space="preserve">Denk hierbij onder andere aan:
Afgevoerde grond
Afval grondreiniging
Actieve kool
Slib van waterzuivering
</t>
        </r>
      </text>
    </comment>
    <comment ref="A131"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B132" authorId="0">
      <text>
        <r>
          <rPr>
            <sz val="9"/>
            <rFont val="Tahoma"/>
            <family val="0"/>
          </rPr>
          <t>Indien gewenst kan onderscheid gemaakt worden tussen verschillende fases in het project, bijvoorbeeld afgraving en grondwatersanering. De waarden worden gewoon opgeteld.</t>
        </r>
      </text>
    </comment>
    <comment ref="C98" authorId="1">
      <text>
        <r>
          <rPr>
            <sz val="9"/>
            <rFont val="Tahoma"/>
            <family val="2"/>
          </rPr>
          <t>Gemiddeld energiegebruik per inwoner in Nederland in 1997 was ongeveer 200 GJ</t>
        </r>
        <r>
          <rPr>
            <sz val="9"/>
            <rFont val="Tahoma"/>
            <family val="0"/>
          </rPr>
          <t xml:space="preserve">
</t>
        </r>
      </text>
    </comment>
    <comment ref="C99" authorId="1">
      <text>
        <r>
          <rPr>
            <sz val="9"/>
            <rFont val="Tahoma"/>
            <family val="2"/>
          </rPr>
          <t>Emissies CO2, SO2 en NOx berekend met standaard LCA-omrekenfactoren en gerelateerd aan emissies per capita. Wegen elk even zwaar.</t>
        </r>
      </text>
    </comment>
    <comment ref="E41" authorId="1">
      <text>
        <r>
          <rPr>
            <sz val="9"/>
            <rFont val="Tahoma"/>
            <family val="2"/>
          </rPr>
          <t xml:space="preserve">Score per stof. Een Kubel is een m3 die gedurende een jaar is verontreinigd met 1 maal de tussenwaarde van de betreffende stof.
500 kubel is dus 500m3 met 1 maal de tusenwaarde of 5 m3 met 100 maal de tussenwaarde.
</t>
        </r>
      </text>
    </comment>
    <comment ref="E104" authorId="1">
      <text>
        <r>
          <rPr>
            <sz val="9"/>
            <rFont val="Tahoma"/>
            <family val="2"/>
          </rPr>
          <t xml:space="preserve">Score per stof. Een Kubel is een m3 die is verontreinigd met 1 maal de tussenwaarde van de betreffende stof.
500 kubel is dus 500m3 met 1 maal de tusenwaarde of 5 m3 met 100 maal de tussenwaarde.
</t>
        </r>
      </text>
    </comment>
    <comment ref="D23"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D41"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H23" authorId="1">
      <text>
        <r>
          <rPr>
            <sz val="9"/>
            <rFont val="Tahoma"/>
            <family val="2"/>
          </rPr>
          <t>Aaname is dat de bodemdichtheid 1700 kg/m3  bedraagt.
De vracht dient slechts ter controle en wordt verder niet gebruikt in de berekeningen.</t>
        </r>
      </text>
    </comment>
    <comment ref="A23" authorId="2">
      <text>
        <r>
          <rPr>
            <sz val="10"/>
            <rFont val="Tahoma"/>
            <family val="2"/>
          </rPr>
          <t>De stoffen worden gekopieerd uit het werkblad 'Huidig'. Vul dit werkblad dus eerst in.</t>
        </r>
      </text>
    </comment>
  </commentList>
</comments>
</file>

<file path=xl/comments7.xml><?xml version="1.0" encoding="utf-8"?>
<comments xmlns="http://schemas.openxmlformats.org/spreadsheetml/2006/main">
  <authors>
    <author>A satisfied Microsoft Office user</author>
    <author>IVM</author>
    <author>Michiel en Stephanie</author>
  </authors>
  <commentList>
    <comment ref="A6"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A7"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A8" authorId="0">
      <text>
        <r>
          <rPr>
            <sz val="9"/>
            <rFont val="Tahoma"/>
            <family val="0"/>
          </rPr>
          <t>Dit is de netto hoeveelheid grond die verloren gaat, ongeacht de hoeveelheid verontreiniging die erin zit.</t>
        </r>
      </text>
    </comment>
    <comment ref="A9" authorId="0">
      <text>
        <r>
          <rPr>
            <sz val="9"/>
            <rFont val="Tahoma"/>
            <family val="0"/>
          </rPr>
          <t>Dit is de netto hoeveelheid grondwater die voor de sanering verloren gaat ongeacht hoeveel verontreiniging daar in zit.</t>
        </r>
      </text>
    </comment>
    <comment ref="A10"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t>
        </r>
      </text>
    </comment>
    <comment ref="A11" authorId="0">
      <text>
        <r>
          <rPr>
            <sz val="9"/>
            <rFont val="Tahoma"/>
            <family val="0"/>
          </rPr>
          <t>Oppervlaktewater emissies worden genormeerd met de grenswaarde uit de evaluatienota water.</t>
        </r>
      </text>
    </comment>
    <comment ref="A12" authorId="0">
      <text>
        <r>
          <rPr>
            <sz val="9"/>
            <rFont val="Tahoma"/>
            <family val="0"/>
          </rPr>
          <t>Denk hierbij onder andere aan:
Afgevoerde grond
Afval grondreiniging
Actieve kool
Slib van waterzuivering</t>
        </r>
      </text>
    </comment>
    <comment ref="A13"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A22"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B23" authorId="0">
      <text>
        <r>
          <rPr>
            <sz val="9"/>
            <rFont val="Tahoma"/>
            <family val="0"/>
          </rPr>
          <t>streefwaarde</t>
        </r>
      </text>
    </comment>
    <comment ref="C23" authorId="0">
      <text>
        <r>
          <rPr>
            <sz val="9"/>
            <rFont val="Tahoma"/>
            <family val="0"/>
          </rPr>
          <t>interventiewaarde</t>
        </r>
      </text>
    </comment>
    <comment ref="E23" authorId="0">
      <text>
        <r>
          <rPr>
            <sz val="9"/>
            <rFont val="Tahoma"/>
            <family val="0"/>
          </rPr>
          <t>lutum</t>
        </r>
      </text>
    </comment>
    <comment ref="F23" authorId="0">
      <text>
        <r>
          <rPr>
            <sz val="9"/>
            <rFont val="Tahoma"/>
            <family val="0"/>
          </rPr>
          <t>Organisch stof- of humusgehalte; de waarden zijn automatisch gecorrigeerd want ze moeten tussen de 2% en 30% liggen; bij PAKs tussen 10% en 30%. Het organisch stofgehalte is gebruikt om de i- en de s-waarden te corrigeren.</t>
        </r>
      </text>
    </comment>
    <comment ref="G23" authorId="0">
      <text>
        <r>
          <rPr>
            <sz val="9"/>
            <rFont val="Tahoma"/>
            <family val="0"/>
          </rPr>
          <t xml:space="preserve">Score per stof. Een Kubel is een m3 die gedurende een jaar is verontreinigd met 1 maal de tussenwaarde van de betreffende stof.
500 kubel is dus 500m3 met 1 maal de tusenwaarde of 5 m3 met 100 maal de tussenwaarde.
</t>
        </r>
      </text>
    </comment>
    <comment ref="J23" authorId="0">
      <text>
        <r>
          <rPr>
            <sz val="9"/>
            <rFont val="Tahoma"/>
            <family val="0"/>
          </rPr>
          <t>score per component</t>
        </r>
      </text>
    </comment>
    <comment ref="A40"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B41" authorId="0">
      <text>
        <r>
          <rPr>
            <sz val="9"/>
            <rFont val="Tahoma"/>
            <family val="0"/>
          </rPr>
          <t>streefwaarde</t>
        </r>
      </text>
    </comment>
    <comment ref="C41" authorId="0">
      <text>
        <r>
          <rPr>
            <sz val="9"/>
            <rFont val="Tahoma"/>
            <family val="0"/>
          </rPr>
          <t>interventiewaarde</t>
        </r>
      </text>
    </comment>
    <comment ref="J41" authorId="0">
      <text>
        <r>
          <rPr>
            <sz val="9"/>
            <rFont val="Tahoma"/>
            <family val="0"/>
          </rPr>
          <t>grondwatervolume verontreinigd met deze component</t>
        </r>
      </text>
    </comment>
    <comment ref="A58" authorId="0">
      <text>
        <r>
          <rPr>
            <sz val="9"/>
            <rFont val="Tahoma"/>
            <family val="0"/>
          </rPr>
          <t>Dit is de netto hoeveelheid grond die verloren gaat, ongeacht de hoeveelheid verontreiniging die erin zit.</t>
        </r>
      </text>
    </comment>
    <comment ref="A59" authorId="0">
      <text>
        <r>
          <rPr>
            <sz val="9"/>
            <rFont val="Tahoma"/>
            <family val="0"/>
          </rPr>
          <t>hoeveelheid grond die van elders wordt aangewend</t>
        </r>
      </text>
    </comment>
    <comment ref="A60" authorId="0">
      <text>
        <r>
          <rPr>
            <sz val="9"/>
            <rFont val="Tahoma"/>
            <family val="0"/>
          </rPr>
          <t>hoeveelheid afgegraven grond die elders wordt hergebruikt</t>
        </r>
      </text>
    </comment>
    <comment ref="A66" authorId="0">
      <text>
        <r>
          <rPr>
            <sz val="9"/>
            <rFont val="Tahoma"/>
            <family val="0"/>
          </rPr>
          <t>Dit is de netto hoeveelheid grondwater die voor de sanering verloren gaat ongeacht hoeveel verontreiniging daar in zit.</t>
        </r>
      </text>
    </comment>
    <comment ref="A67" authorId="0">
      <text>
        <r>
          <rPr>
            <sz val="9"/>
            <rFont val="Tahoma"/>
            <family val="0"/>
          </rPr>
          <t>opgepompte hoeveelheid grondwater (al dan niet verontreinigd)</t>
        </r>
      </text>
    </comment>
    <comment ref="A68" authorId="0">
      <text>
        <r>
          <rPr>
            <sz val="9"/>
            <rFont val="Tahoma"/>
            <family val="0"/>
          </rPr>
          <t>Hoeveelheid opgepompt grondwater die na zuivering weer wordt teruggevoerd naar de grondwatervoorraad.</t>
        </r>
      </text>
    </comment>
    <comment ref="A74"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
Vul bij 12 en 13 andere energiegebruikende operaties in.</t>
        </r>
      </text>
    </comment>
    <comment ref="E75" authorId="0">
      <text>
        <r>
          <rPr>
            <sz val="9"/>
            <rFont val="Tahoma"/>
            <family val="0"/>
          </rPr>
          <t>Gegeven waarden zijn slechts defaults. Voor specifieke locaties kunnen ze worden vervangen door preciezere kentallen.</t>
        </r>
      </text>
    </comment>
    <comment ref="F75" authorId="0">
      <text>
        <r>
          <rPr>
            <sz val="9"/>
            <rFont val="Tahoma"/>
            <family val="0"/>
          </rPr>
          <t>Eenheid bedoeld in kolom direct links van deze. Bijvoorbeeld bij 1, is het dieselgebruik 35 MJ/ton afgegraven grond.</t>
        </r>
      </text>
    </comment>
    <comment ref="C77" authorId="0">
      <text>
        <r>
          <rPr>
            <sz val="9"/>
            <rFont val="Tahoma"/>
            <family val="0"/>
          </rPr>
          <t>Vul in hoeveel ton grond wordt afgegraven.</t>
        </r>
      </text>
    </comment>
    <comment ref="C78" authorId="0">
      <text>
        <r>
          <rPr>
            <sz val="9"/>
            <rFont val="Tahoma"/>
            <family val="0"/>
          </rPr>
          <t>Vul in hoeveel ton grond moet worden vervoerd</t>
        </r>
      </text>
    </comment>
    <comment ref="A79" authorId="0">
      <text>
        <r>
          <rPr>
            <sz val="9"/>
            <rFont val="Tahoma"/>
            <family val="0"/>
          </rPr>
          <t>enkele reis</t>
        </r>
      </text>
    </comment>
    <comment ref="C79" authorId="0">
      <text>
        <r>
          <rPr>
            <sz val="9"/>
            <rFont val="Tahoma"/>
            <family val="0"/>
          </rPr>
          <t>Vervoersafstand in km (enekele reis)</t>
        </r>
      </text>
    </comment>
    <comment ref="C80" authorId="0">
      <text>
        <r>
          <rPr>
            <sz val="9"/>
            <rFont val="Tahoma"/>
            <family val="0"/>
          </rPr>
          <t>Vul in hoeveel ton grond moet worden aangevoerd.</t>
        </r>
      </text>
    </comment>
    <comment ref="A81" authorId="0">
      <text>
        <r>
          <rPr>
            <sz val="9"/>
            <rFont val="Tahoma"/>
            <family val="0"/>
          </rPr>
          <t>enkele reis</t>
        </r>
      </text>
    </comment>
    <comment ref="C81" authorId="0">
      <text>
        <r>
          <rPr>
            <sz val="9"/>
            <rFont val="Tahoma"/>
            <family val="0"/>
          </rPr>
          <t>Vervoersafstand in km, enkele reis.</t>
        </r>
      </text>
    </comment>
    <comment ref="D82" authorId="0">
      <text>
        <r>
          <rPr>
            <sz val="9"/>
            <rFont val="Tahoma"/>
            <family val="0"/>
          </rPr>
          <t>Vul in hoeveel ton grond moet worden gereinigd.</t>
        </r>
      </text>
    </comment>
    <comment ref="D83" authorId="0">
      <text>
        <r>
          <rPr>
            <sz val="9"/>
            <rFont val="Tahoma"/>
            <family val="0"/>
          </rPr>
          <t>Vul in hoeveel ton grond moet worden gereinigd.</t>
        </r>
      </text>
    </comment>
    <comment ref="D84" authorId="0">
      <text>
        <r>
          <rPr>
            <sz val="9"/>
            <rFont val="Tahoma"/>
            <family val="0"/>
          </rPr>
          <t>Vul in hoeveel ton grond moet worden gereinigd.</t>
        </r>
      </text>
    </comment>
    <comment ref="D85" authorId="0">
      <text>
        <r>
          <rPr>
            <sz val="9"/>
            <rFont val="Tahoma"/>
            <family val="0"/>
          </rPr>
          <t>Vul in hoeveel ton grond moet worden gereinigd.</t>
        </r>
      </text>
    </comment>
    <comment ref="E85" authorId="0">
      <text>
        <r>
          <rPr>
            <sz val="9"/>
            <rFont val="Tahoma"/>
            <family val="0"/>
          </rPr>
          <t>Energiegebruik in MJ per ton grond.</t>
        </r>
      </text>
    </comment>
    <comment ref="D86" authorId="0">
      <text>
        <r>
          <rPr>
            <sz val="9"/>
            <rFont val="Tahoma"/>
            <family val="0"/>
          </rPr>
          <t>Vul in hoeveel m3 er moet worden opgepompt.</t>
        </r>
      </text>
    </comment>
    <comment ref="A87" authorId="0">
      <text>
        <r>
          <rPr>
            <sz val="9"/>
            <rFont val="Tahoma"/>
            <family val="0"/>
          </rPr>
          <t>indien niets wordt ingevuld is de voorkeurswaarde 2m</t>
        </r>
      </text>
    </comment>
    <comment ref="C88" authorId="0">
      <text>
        <r>
          <rPr>
            <sz val="9"/>
            <rFont val="Tahoma"/>
            <family val="0"/>
          </rPr>
          <t>Vul in hoeveel m3 er moet worden opgepompt.</t>
        </r>
      </text>
    </comment>
    <comment ref="E88" authorId="0">
      <text>
        <r>
          <rPr>
            <sz val="9"/>
            <rFont val="Tahoma"/>
            <family val="0"/>
          </rPr>
          <t>indien niets wordt ingevuld is de voorkeurswaarde 0.02</t>
        </r>
      </text>
    </comment>
    <comment ref="A89" authorId="0">
      <text>
        <r>
          <rPr>
            <sz val="9"/>
            <rFont val="Tahoma"/>
            <family val="0"/>
          </rPr>
          <t>indien niets wordt ingevuld is de voorkeurswaarde 2m</t>
        </r>
      </text>
    </comment>
    <comment ref="D90" authorId="0">
      <text>
        <r>
          <rPr>
            <sz val="9"/>
            <rFont val="Tahoma"/>
            <family val="0"/>
          </rPr>
          <t>Vul in hoeveel m3 water er moet worden gereinigd.</t>
        </r>
      </text>
    </comment>
    <comment ref="A91" authorId="0">
      <text>
        <r>
          <rPr>
            <sz val="9"/>
            <rFont val="Tahoma"/>
            <family val="0"/>
          </rPr>
          <t>rioolwaterzuiveringsinstallatie</t>
        </r>
      </text>
    </comment>
    <comment ref="D91" authorId="0">
      <text>
        <r>
          <rPr>
            <sz val="9"/>
            <rFont val="Tahoma"/>
            <family val="0"/>
          </rPr>
          <t>Vul in hoeveel m3 water er naar de rioolwaterzuiveringsinstallatie moet worden afgevoerd.</t>
        </r>
      </text>
    </comment>
    <comment ref="A93" authorId="0">
      <text>
        <r>
          <rPr>
            <sz val="9"/>
            <rFont val="Tahoma"/>
            <family val="0"/>
          </rPr>
          <t>Vul hier het dieselgebruik van andere operaties die (fors) energie gebruiken.</t>
        </r>
      </text>
    </comment>
    <comment ref="C93" authorId="0">
      <text>
        <r>
          <rPr>
            <sz val="9"/>
            <rFont val="Tahoma"/>
            <family val="0"/>
          </rPr>
          <t>Vul in hoeveel tonnen diesel nodig is voor andere processen.</t>
        </r>
      </text>
    </comment>
    <comment ref="A94" authorId="0">
      <text>
        <r>
          <rPr>
            <sz val="9"/>
            <rFont val="Tahoma"/>
            <family val="0"/>
          </rPr>
          <t>Vul hier het elektriciteitsgebruik van andere operaties die (fors) energie gebruiken. Eenheid is MJ! 1 kWh komt overeen met 3.6 MJ.</t>
        </r>
      </text>
    </comment>
    <comment ref="D94" authorId="0">
      <text>
        <r>
          <rPr>
            <sz val="9"/>
            <rFont val="Tahoma"/>
            <family val="0"/>
          </rPr>
          <t>Vul hier het elektriciteitsgebruik van andere processen in MJ. 1 kWh komt overeen met 3.6 MJ.</t>
        </r>
      </text>
    </comment>
    <comment ref="A103" authorId="0">
      <text>
        <r>
          <rPr>
            <sz val="9"/>
            <rFont val="Tahoma"/>
            <family val="0"/>
          </rPr>
          <t>Oppervlaktewater emissies worden genormeerd met de grenswaarde uit de evaluatienota water. Als deze niet bekend zijn verschijnt er 'NB' in het venster.</t>
        </r>
      </text>
    </comment>
    <comment ref="B104" authorId="0">
      <text>
        <r>
          <rPr>
            <sz val="9"/>
            <rFont val="Tahoma"/>
            <family val="0"/>
          </rPr>
          <t>grenswaarde in microgram/l</t>
        </r>
      </text>
    </comment>
    <comment ref="C104" authorId="0">
      <text>
        <r>
          <rPr>
            <sz val="9"/>
            <rFont val="Tahoma"/>
            <family val="0"/>
          </rPr>
          <t>concentratie in microgram/liter</t>
        </r>
      </text>
    </comment>
    <comment ref="D104" authorId="0">
      <text>
        <r>
          <rPr>
            <sz val="9"/>
            <rFont val="Tahoma"/>
            <family val="0"/>
          </rPr>
          <t>volume emissie in m3</t>
        </r>
      </text>
    </comment>
    <comment ref="B105" authorId="0">
      <text>
        <r>
          <rPr>
            <sz val="9"/>
            <rFont val="Tahoma"/>
            <family val="0"/>
          </rPr>
          <t>Waarde wordt opgehaald uit werkblad 'Normen' (druk eventueel op F9). 'NB' betekent Niet Bekend - vul dan een waarde in die apart is vastgesteld of die is afgeleid van de norm voor grondwater.</t>
        </r>
      </text>
    </comment>
    <comment ref="A121" authorId="0">
      <text>
        <r>
          <rPr>
            <sz val="9"/>
            <rFont val="Tahoma"/>
            <family val="0"/>
          </rPr>
          <t xml:space="preserve">Denk hierbij onder andere aan:
Afgevoerde grond
Afval grondreiniging
Actieve kool
Slib van waterzuivering
</t>
        </r>
      </text>
    </comment>
    <comment ref="A131"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B132" authorId="0">
      <text>
        <r>
          <rPr>
            <sz val="9"/>
            <rFont val="Tahoma"/>
            <family val="0"/>
          </rPr>
          <t>Indien gewenst kan onderscheid gemaakt worden tussen verschillende fases in het project, bijvoorbeeld afgraving en grondwatersanering. De waarden worden gewoon opgeteld.</t>
        </r>
      </text>
    </comment>
    <comment ref="C98" authorId="1">
      <text>
        <r>
          <rPr>
            <sz val="9"/>
            <rFont val="Tahoma"/>
            <family val="2"/>
          </rPr>
          <t>Gemiddeld energiegebruik per inwoner in Nederland in 1997 was ongeveer 200 GJ</t>
        </r>
        <r>
          <rPr>
            <sz val="9"/>
            <rFont val="Tahoma"/>
            <family val="0"/>
          </rPr>
          <t xml:space="preserve">
</t>
        </r>
      </text>
    </comment>
    <comment ref="C99" authorId="1">
      <text>
        <r>
          <rPr>
            <sz val="9"/>
            <rFont val="Tahoma"/>
            <family val="2"/>
          </rPr>
          <t>Emissies CO2, SO2 en NOx berekend met standaard LCA-omrekenfactoren en gerelateerd aan emissies per capita. Wegen elk even zwaar.</t>
        </r>
      </text>
    </comment>
    <comment ref="E41" authorId="1">
      <text>
        <r>
          <rPr>
            <sz val="9"/>
            <rFont val="Tahoma"/>
            <family val="2"/>
          </rPr>
          <t xml:space="preserve">Score per stof. Een Kubel is een m3 die gedurende een jaar is verontreinigd met 1 maal de tussenwaarde van de betreffende stof.
500 kubel is dus 500m3 met 1 maal de tusenwaarde of 5 m3 met 100 maal de tussenwaarde.
</t>
        </r>
      </text>
    </comment>
    <comment ref="E104" authorId="1">
      <text>
        <r>
          <rPr>
            <sz val="9"/>
            <rFont val="Tahoma"/>
            <family val="2"/>
          </rPr>
          <t xml:space="preserve">Score per stof. Een Kubel is een m3 die is verontreinigd met 1 maal de tussenwaarde van de betreffende stof.
500 kubel is dus 500m3 met 1 maal de tusenwaarde of 5 m3 met 100 maal de tussenwaarde.
</t>
        </r>
      </text>
    </comment>
    <comment ref="D23"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D41"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H23" authorId="1">
      <text>
        <r>
          <rPr>
            <sz val="9"/>
            <rFont val="Tahoma"/>
            <family val="2"/>
          </rPr>
          <t>Aaname is dat de bodemdichtheid 1700 kg/m3  bedraagt.
De vracht dient slechts ter controle en wordt verder niet gebruikt in de berekeningen.</t>
        </r>
      </text>
    </comment>
    <comment ref="A23" authorId="2">
      <text>
        <r>
          <rPr>
            <sz val="10"/>
            <rFont val="Tahoma"/>
            <family val="2"/>
          </rPr>
          <t>De stoffen worden gekopieerd uit het werkblad 'Huidig'. Vul dit werkblad dus eerst in.</t>
        </r>
      </text>
    </comment>
  </commentList>
</comments>
</file>

<file path=xl/comments8.xml><?xml version="1.0" encoding="utf-8"?>
<comments xmlns="http://schemas.openxmlformats.org/spreadsheetml/2006/main">
  <authors>
    <author>A satisfied Microsoft Office user</author>
    <author>IVM</author>
    <author>Michiel en Stephanie</author>
  </authors>
  <commentList>
    <comment ref="A6"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A7"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A8" authorId="0">
      <text>
        <r>
          <rPr>
            <sz val="9"/>
            <rFont val="Tahoma"/>
            <family val="0"/>
          </rPr>
          <t>Dit is de netto hoeveelheid grond die verloren gaat, ongeacht de hoeveelheid verontreiniging die erin zit.</t>
        </r>
      </text>
    </comment>
    <comment ref="A9" authorId="0">
      <text>
        <r>
          <rPr>
            <sz val="9"/>
            <rFont val="Tahoma"/>
            <family val="0"/>
          </rPr>
          <t>Dit is de netto hoeveelheid grondwater die voor de sanering verloren gaat ongeacht hoeveel verontreiniging daar in zit.</t>
        </r>
      </text>
    </comment>
    <comment ref="A10"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t>
        </r>
      </text>
    </comment>
    <comment ref="A11" authorId="0">
      <text>
        <r>
          <rPr>
            <sz val="9"/>
            <rFont val="Tahoma"/>
            <family val="0"/>
          </rPr>
          <t>Oppervlaktewater emissies worden genormeerd met de grenswaarde uit de evaluatienota water.</t>
        </r>
      </text>
    </comment>
    <comment ref="A12" authorId="0">
      <text>
        <r>
          <rPr>
            <sz val="9"/>
            <rFont val="Tahoma"/>
            <family val="0"/>
          </rPr>
          <t>Denk hierbij onder andere aan:
Afgevoerde grond
Afval grondreiniging
Actieve kool
Slib van waterzuivering</t>
        </r>
      </text>
    </comment>
    <comment ref="A13"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A22"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B23" authorId="0">
      <text>
        <r>
          <rPr>
            <sz val="9"/>
            <rFont val="Tahoma"/>
            <family val="0"/>
          </rPr>
          <t>streefwaarde</t>
        </r>
      </text>
    </comment>
    <comment ref="C23" authorId="0">
      <text>
        <r>
          <rPr>
            <sz val="9"/>
            <rFont val="Tahoma"/>
            <family val="0"/>
          </rPr>
          <t>interventiewaarde</t>
        </r>
      </text>
    </comment>
    <comment ref="E23" authorId="0">
      <text>
        <r>
          <rPr>
            <sz val="9"/>
            <rFont val="Tahoma"/>
            <family val="0"/>
          </rPr>
          <t>lutum</t>
        </r>
      </text>
    </comment>
    <comment ref="F23" authorId="0">
      <text>
        <r>
          <rPr>
            <sz val="9"/>
            <rFont val="Tahoma"/>
            <family val="0"/>
          </rPr>
          <t>Organisch stof- of humusgehalte; de waarden zijn automatisch gecorrigeerd want ze moeten tussen de 2% en 30% liggen; bij PAKs tussen 10% en 30%. Het organisch stofgehalte is gebruikt om de i- en de s-waarden te corrigeren.</t>
        </r>
      </text>
    </comment>
    <comment ref="G23" authorId="0">
      <text>
        <r>
          <rPr>
            <sz val="9"/>
            <rFont val="Tahoma"/>
            <family val="0"/>
          </rPr>
          <t xml:space="preserve">Score per stof. Een Kubel is een m3 die gedurende een jaar is verontreinigd met 1 maal de tussenwaarde van de betreffende stof.
500 kubel is dus 500m3 met 1 maal de tusenwaarde of 5 m3 met 100 maal de tussenwaarde.
</t>
        </r>
      </text>
    </comment>
    <comment ref="J23" authorId="0">
      <text>
        <r>
          <rPr>
            <sz val="9"/>
            <rFont val="Tahoma"/>
            <family val="0"/>
          </rPr>
          <t>score per component</t>
        </r>
      </text>
    </comment>
    <comment ref="A40"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B41" authorId="0">
      <text>
        <r>
          <rPr>
            <sz val="9"/>
            <rFont val="Tahoma"/>
            <family val="0"/>
          </rPr>
          <t>streefwaarde</t>
        </r>
      </text>
    </comment>
    <comment ref="C41" authorId="0">
      <text>
        <r>
          <rPr>
            <sz val="9"/>
            <rFont val="Tahoma"/>
            <family val="0"/>
          </rPr>
          <t>interventiewaarde</t>
        </r>
      </text>
    </comment>
    <comment ref="J41" authorId="0">
      <text>
        <r>
          <rPr>
            <sz val="9"/>
            <rFont val="Tahoma"/>
            <family val="0"/>
          </rPr>
          <t>grondwatervolume verontreinigd met deze component</t>
        </r>
      </text>
    </comment>
    <comment ref="A58" authorId="0">
      <text>
        <r>
          <rPr>
            <sz val="9"/>
            <rFont val="Tahoma"/>
            <family val="0"/>
          </rPr>
          <t>Dit is de netto hoeveelheid grond die verloren gaat, ongeacht de hoeveelheid verontreiniging die erin zit.</t>
        </r>
      </text>
    </comment>
    <comment ref="A59" authorId="0">
      <text>
        <r>
          <rPr>
            <sz val="9"/>
            <rFont val="Tahoma"/>
            <family val="0"/>
          </rPr>
          <t>hoeveelheid grond die van elders wordt aangewend</t>
        </r>
      </text>
    </comment>
    <comment ref="A60" authorId="0">
      <text>
        <r>
          <rPr>
            <sz val="9"/>
            <rFont val="Tahoma"/>
            <family val="0"/>
          </rPr>
          <t>hoeveelheid afgegraven grond die elders wordt hergebruikt</t>
        </r>
      </text>
    </comment>
    <comment ref="A66" authorId="0">
      <text>
        <r>
          <rPr>
            <sz val="9"/>
            <rFont val="Tahoma"/>
            <family val="0"/>
          </rPr>
          <t>Dit is de netto hoeveelheid grondwater die voor de sanering verloren gaat ongeacht hoeveel verontreiniging daar in zit.</t>
        </r>
      </text>
    </comment>
    <comment ref="A67" authorId="0">
      <text>
        <r>
          <rPr>
            <sz val="9"/>
            <rFont val="Tahoma"/>
            <family val="0"/>
          </rPr>
          <t>opgepompte hoeveelheid grondwater (al dan niet verontreinigd)</t>
        </r>
      </text>
    </comment>
    <comment ref="A68" authorId="0">
      <text>
        <r>
          <rPr>
            <sz val="9"/>
            <rFont val="Tahoma"/>
            <family val="0"/>
          </rPr>
          <t>Hoeveelheid opgepompt grondwater die na zuivering weer wordt teruggevoerd naar de grondwatervoorraad.</t>
        </r>
      </text>
    </comment>
    <comment ref="A74"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
Vul bij 12 en 13 andere energiegebruikende operaties in.</t>
        </r>
      </text>
    </comment>
    <comment ref="E75" authorId="0">
      <text>
        <r>
          <rPr>
            <sz val="9"/>
            <rFont val="Tahoma"/>
            <family val="0"/>
          </rPr>
          <t>Gegeven waarden zijn slechts defaults. Voor specifieke locaties kunnen ze worden vervangen door preciezere kentallen.</t>
        </r>
      </text>
    </comment>
    <comment ref="F75" authorId="0">
      <text>
        <r>
          <rPr>
            <sz val="9"/>
            <rFont val="Tahoma"/>
            <family val="0"/>
          </rPr>
          <t>Eenheid bedoeld in kolom direct links van deze. Bijvoorbeeld bij 1, is het dieselgebruik 35 MJ/ton afgegraven grond.</t>
        </r>
      </text>
    </comment>
    <comment ref="C77" authorId="0">
      <text>
        <r>
          <rPr>
            <sz val="9"/>
            <rFont val="Tahoma"/>
            <family val="0"/>
          </rPr>
          <t>Vul in hoeveel ton grond wordt afgegraven.</t>
        </r>
      </text>
    </comment>
    <comment ref="C78" authorId="0">
      <text>
        <r>
          <rPr>
            <sz val="9"/>
            <rFont val="Tahoma"/>
            <family val="0"/>
          </rPr>
          <t>Vul in hoeveel ton grond moet worden vervoerd</t>
        </r>
      </text>
    </comment>
    <comment ref="A79" authorId="0">
      <text>
        <r>
          <rPr>
            <sz val="9"/>
            <rFont val="Tahoma"/>
            <family val="0"/>
          </rPr>
          <t>enkele reis</t>
        </r>
      </text>
    </comment>
    <comment ref="C79" authorId="0">
      <text>
        <r>
          <rPr>
            <sz val="9"/>
            <rFont val="Tahoma"/>
            <family val="0"/>
          </rPr>
          <t>Vervoersafstand in km (enekele reis)</t>
        </r>
      </text>
    </comment>
    <comment ref="C80" authorId="0">
      <text>
        <r>
          <rPr>
            <sz val="9"/>
            <rFont val="Tahoma"/>
            <family val="0"/>
          </rPr>
          <t>Vul in hoeveel ton grond moet worden aangevoerd.</t>
        </r>
      </text>
    </comment>
    <comment ref="A81" authorId="0">
      <text>
        <r>
          <rPr>
            <sz val="9"/>
            <rFont val="Tahoma"/>
            <family val="0"/>
          </rPr>
          <t>enkele reis</t>
        </r>
      </text>
    </comment>
    <comment ref="C81" authorId="0">
      <text>
        <r>
          <rPr>
            <sz val="9"/>
            <rFont val="Tahoma"/>
            <family val="0"/>
          </rPr>
          <t>Vervoersafstand in km, enkele reis.</t>
        </r>
      </text>
    </comment>
    <comment ref="D82" authorId="0">
      <text>
        <r>
          <rPr>
            <sz val="9"/>
            <rFont val="Tahoma"/>
            <family val="0"/>
          </rPr>
          <t>Vul in hoeveel ton grond moet worden gereinigd.</t>
        </r>
      </text>
    </comment>
    <comment ref="D83" authorId="0">
      <text>
        <r>
          <rPr>
            <sz val="9"/>
            <rFont val="Tahoma"/>
            <family val="0"/>
          </rPr>
          <t>Vul in hoeveel ton grond moet worden gereinigd.</t>
        </r>
      </text>
    </comment>
    <comment ref="D84" authorId="0">
      <text>
        <r>
          <rPr>
            <sz val="9"/>
            <rFont val="Tahoma"/>
            <family val="0"/>
          </rPr>
          <t>Vul in hoeveel ton grond moet worden gereinigd.</t>
        </r>
      </text>
    </comment>
    <comment ref="D85" authorId="0">
      <text>
        <r>
          <rPr>
            <sz val="9"/>
            <rFont val="Tahoma"/>
            <family val="0"/>
          </rPr>
          <t>Vul in hoeveel ton grond moet worden gereinigd.</t>
        </r>
      </text>
    </comment>
    <comment ref="E85" authorId="0">
      <text>
        <r>
          <rPr>
            <sz val="9"/>
            <rFont val="Tahoma"/>
            <family val="0"/>
          </rPr>
          <t>Energiegebruik in MJ per ton grond.</t>
        </r>
      </text>
    </comment>
    <comment ref="D86" authorId="0">
      <text>
        <r>
          <rPr>
            <sz val="9"/>
            <rFont val="Tahoma"/>
            <family val="0"/>
          </rPr>
          <t>Vul in hoeveel m3 er moet worden opgepompt.</t>
        </r>
      </text>
    </comment>
    <comment ref="A87" authorId="0">
      <text>
        <r>
          <rPr>
            <sz val="9"/>
            <rFont val="Tahoma"/>
            <family val="0"/>
          </rPr>
          <t>indien niets wordt ingevuld is de voorkeurswaarde 2m</t>
        </r>
      </text>
    </comment>
    <comment ref="C88" authorId="0">
      <text>
        <r>
          <rPr>
            <sz val="9"/>
            <rFont val="Tahoma"/>
            <family val="0"/>
          </rPr>
          <t>Vul in hoeveel m3 er moet worden opgepompt.</t>
        </r>
      </text>
    </comment>
    <comment ref="E88" authorId="0">
      <text>
        <r>
          <rPr>
            <sz val="9"/>
            <rFont val="Tahoma"/>
            <family val="0"/>
          </rPr>
          <t>indien niets wordt ingevuld is de voorkeurswaarde 0.02</t>
        </r>
      </text>
    </comment>
    <comment ref="A89" authorId="0">
      <text>
        <r>
          <rPr>
            <sz val="9"/>
            <rFont val="Tahoma"/>
            <family val="0"/>
          </rPr>
          <t>indien niets wordt ingevuld is de voorkeurswaarde 2m</t>
        </r>
      </text>
    </comment>
    <comment ref="D90" authorId="0">
      <text>
        <r>
          <rPr>
            <sz val="9"/>
            <rFont val="Tahoma"/>
            <family val="0"/>
          </rPr>
          <t>Vul in hoeveel m3 water er moet worden gereinigd.</t>
        </r>
      </text>
    </comment>
    <comment ref="A91" authorId="0">
      <text>
        <r>
          <rPr>
            <sz val="9"/>
            <rFont val="Tahoma"/>
            <family val="0"/>
          </rPr>
          <t>rioolwaterzuiveringsinstallatie</t>
        </r>
      </text>
    </comment>
    <comment ref="D91" authorId="0">
      <text>
        <r>
          <rPr>
            <sz val="9"/>
            <rFont val="Tahoma"/>
            <family val="0"/>
          </rPr>
          <t>Vul in hoeveel m3 water er naar de rioolwaterzuiveringsinstallatie moet worden afgevoerd.</t>
        </r>
      </text>
    </comment>
    <comment ref="A93" authorId="0">
      <text>
        <r>
          <rPr>
            <sz val="9"/>
            <rFont val="Tahoma"/>
            <family val="0"/>
          </rPr>
          <t>Vul hier het dieselgebruik van andere operaties die (fors) energie gebruiken.</t>
        </r>
      </text>
    </comment>
    <comment ref="C93" authorId="0">
      <text>
        <r>
          <rPr>
            <sz val="9"/>
            <rFont val="Tahoma"/>
            <family val="0"/>
          </rPr>
          <t>Vul in hoeveel tonnen diesel nodig is voor andere processen.</t>
        </r>
      </text>
    </comment>
    <comment ref="A94" authorId="0">
      <text>
        <r>
          <rPr>
            <sz val="9"/>
            <rFont val="Tahoma"/>
            <family val="0"/>
          </rPr>
          <t>Vul hier het elektriciteitsgebruik van andere operaties die (fors) energie gebruiken. Eenheid is MJ! 1 kWh komt overeen met 3.6 MJ.</t>
        </r>
      </text>
    </comment>
    <comment ref="D94" authorId="0">
      <text>
        <r>
          <rPr>
            <sz val="9"/>
            <rFont val="Tahoma"/>
            <family val="0"/>
          </rPr>
          <t>Vul hier het elektriciteitsgebruik van andere processen in MJ. 1 kWh komt overeen met 3.6 MJ.</t>
        </r>
      </text>
    </comment>
    <comment ref="A103" authorId="0">
      <text>
        <r>
          <rPr>
            <sz val="9"/>
            <rFont val="Tahoma"/>
            <family val="0"/>
          </rPr>
          <t>Oppervlaktewater emissies worden genormeerd met de grenswaarde uit de evaluatienota water. Als deze niet bekend zijn verschijnt er 'NB' in het venster.</t>
        </r>
      </text>
    </comment>
    <comment ref="B104" authorId="0">
      <text>
        <r>
          <rPr>
            <sz val="9"/>
            <rFont val="Tahoma"/>
            <family val="0"/>
          </rPr>
          <t>grenswaarde in microgram/l</t>
        </r>
      </text>
    </comment>
    <comment ref="C104" authorId="0">
      <text>
        <r>
          <rPr>
            <sz val="9"/>
            <rFont val="Tahoma"/>
            <family val="0"/>
          </rPr>
          <t>concentratie in microgram/liter</t>
        </r>
      </text>
    </comment>
    <comment ref="D104" authorId="0">
      <text>
        <r>
          <rPr>
            <sz val="9"/>
            <rFont val="Tahoma"/>
            <family val="0"/>
          </rPr>
          <t>volume emissie in m3</t>
        </r>
      </text>
    </comment>
    <comment ref="B105" authorId="0">
      <text>
        <r>
          <rPr>
            <sz val="9"/>
            <rFont val="Tahoma"/>
            <family val="0"/>
          </rPr>
          <t>Waarde wordt opgehaald uit werkblad 'Normen' (druk eventueel op F9). 'NB' betekent Niet Bekend - vul dan een waarde in die apart is vastgesteld of die is afgeleid van de norm voor grondwater.</t>
        </r>
      </text>
    </comment>
    <comment ref="A121" authorId="0">
      <text>
        <r>
          <rPr>
            <sz val="9"/>
            <rFont val="Tahoma"/>
            <family val="0"/>
          </rPr>
          <t xml:space="preserve">Denk hierbij onder andere aan:
Afgevoerde grond
Afval grondreiniging
Actieve kool
Slib van waterzuivering
</t>
        </r>
      </text>
    </comment>
    <comment ref="A131"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B132" authorId="0">
      <text>
        <r>
          <rPr>
            <sz val="9"/>
            <rFont val="Tahoma"/>
            <family val="0"/>
          </rPr>
          <t>Indien gewenst kan onderscheid gemaakt worden tussen verschillende fases in het project, bijvoorbeeld afgraving en grondwatersanering. De waarden worden gewoon opgeteld.</t>
        </r>
      </text>
    </comment>
    <comment ref="C98" authorId="1">
      <text>
        <r>
          <rPr>
            <sz val="9"/>
            <rFont val="Tahoma"/>
            <family val="2"/>
          </rPr>
          <t>Gemiddeld energiegebruik per inwoner in Nederland in 1997 was ongeveer 200 GJ</t>
        </r>
        <r>
          <rPr>
            <sz val="9"/>
            <rFont val="Tahoma"/>
            <family val="0"/>
          </rPr>
          <t xml:space="preserve">
</t>
        </r>
      </text>
    </comment>
    <comment ref="C99" authorId="1">
      <text>
        <r>
          <rPr>
            <sz val="9"/>
            <rFont val="Tahoma"/>
            <family val="2"/>
          </rPr>
          <t>Emissies CO2, SO2 en NOx berekend met standaard LCA-omrekenfactoren en gerelateerd aan emissies per capita. Wegen elk even zwaar.</t>
        </r>
      </text>
    </comment>
    <comment ref="E41" authorId="1">
      <text>
        <r>
          <rPr>
            <sz val="9"/>
            <rFont val="Tahoma"/>
            <family val="2"/>
          </rPr>
          <t xml:space="preserve">Score per stof. Een Kubel is een m3 die gedurende een jaar is verontreinigd met 1 maal de tussenwaarde van de betreffende stof.
500 kubel is dus 500m3 met 1 maal de tusenwaarde of 5 m3 met 100 maal de tussenwaarde.
</t>
        </r>
      </text>
    </comment>
    <comment ref="E104" authorId="1">
      <text>
        <r>
          <rPr>
            <sz val="9"/>
            <rFont val="Tahoma"/>
            <family val="2"/>
          </rPr>
          <t xml:space="preserve">Score per stof. Een Kubel is een m3 die is verontreinigd met 1 maal de tussenwaarde van de betreffende stof.
500 kubel is dus 500m3 met 1 maal de tusenwaarde of 5 m3 met 100 maal de tussenwaarde.
</t>
        </r>
      </text>
    </comment>
    <comment ref="D23"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D41"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H23" authorId="1">
      <text>
        <r>
          <rPr>
            <sz val="9"/>
            <rFont val="Tahoma"/>
            <family val="2"/>
          </rPr>
          <t>Aaname is dat de bodemdichtheid 1700 kg/m3  bedraagt.
De vracht dient slechts ter controle en wordt verder niet gebruikt in de berekeningen.</t>
        </r>
      </text>
    </comment>
    <comment ref="A23" authorId="2">
      <text>
        <r>
          <rPr>
            <sz val="10"/>
            <rFont val="Tahoma"/>
            <family val="2"/>
          </rPr>
          <t>De stoffen worden gekopieerd uit het werkblad 'Huidig'. Vul dit werkblad dus eerst in.</t>
        </r>
      </text>
    </comment>
  </commentList>
</comments>
</file>

<file path=xl/comments9.xml><?xml version="1.0" encoding="utf-8"?>
<comments xmlns="http://schemas.openxmlformats.org/spreadsheetml/2006/main">
  <authors>
    <author>A satisfied Microsoft Office user</author>
    <author>IVM</author>
    <author>Michiel en Stephanie</author>
  </authors>
  <commentList>
    <comment ref="A6"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A7"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A8" authorId="0">
      <text>
        <r>
          <rPr>
            <sz val="9"/>
            <rFont val="Tahoma"/>
            <family val="0"/>
          </rPr>
          <t>Dit is de netto hoeveelheid grond die verloren gaat, ongeacht de hoeveelheid verontreiniging die erin zit.</t>
        </r>
      </text>
    </comment>
    <comment ref="A9" authorId="0">
      <text>
        <r>
          <rPr>
            <sz val="9"/>
            <rFont val="Tahoma"/>
            <family val="0"/>
          </rPr>
          <t>Dit is de netto hoeveelheid grondwater die voor de sanering verloren gaat ongeacht hoeveel verontreiniging daar in zit.</t>
        </r>
      </text>
    </comment>
    <comment ref="A10"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t>
        </r>
      </text>
    </comment>
    <comment ref="A11" authorId="0">
      <text>
        <r>
          <rPr>
            <sz val="9"/>
            <rFont val="Tahoma"/>
            <family val="0"/>
          </rPr>
          <t>Oppervlaktewater emissies worden genormeerd met de grenswaarde uit de evaluatienota water.</t>
        </r>
      </text>
    </comment>
    <comment ref="A12" authorId="0">
      <text>
        <r>
          <rPr>
            <sz val="9"/>
            <rFont val="Tahoma"/>
            <family val="0"/>
          </rPr>
          <t>Denk hierbij onder andere aan:
Afgevoerde grond
Afval grondreiniging
Actieve kool
Slib van waterzuivering</t>
        </r>
      </text>
    </comment>
    <comment ref="A13"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A22" authorId="0">
      <text>
        <r>
          <rPr>
            <sz val="9"/>
            <rFont val="Tahoma"/>
            <family val="0"/>
          </rPr>
          <t>Hier wordt de vracht berekend van een bepaalde verontreinigende stof j, voor zover de concentratie van deze stof hoger is dan de streefwaarde s. Dan wordt het verschil bepaald tussen begin- en eindsituatie en gedeeld door (i+s)/2 om de grondeq. te bepalen. Tenslotte worden de bijdragen van alle verontreinigende stoffen gesommeerd; Let op! Als er geen verandering optreedt ten opzichte van de huidige situatie, vul hier dan hetzelfde in als bij 'Huidig'.</t>
        </r>
      </text>
    </comment>
    <comment ref="B23" authorId="0">
      <text>
        <r>
          <rPr>
            <sz val="9"/>
            <rFont val="Tahoma"/>
            <family val="0"/>
          </rPr>
          <t>streefwaarde</t>
        </r>
      </text>
    </comment>
    <comment ref="C23" authorId="0">
      <text>
        <r>
          <rPr>
            <sz val="9"/>
            <rFont val="Tahoma"/>
            <family val="0"/>
          </rPr>
          <t>interventiewaarde</t>
        </r>
      </text>
    </comment>
    <comment ref="E23" authorId="0">
      <text>
        <r>
          <rPr>
            <sz val="9"/>
            <rFont val="Tahoma"/>
            <family val="0"/>
          </rPr>
          <t>lutum</t>
        </r>
      </text>
    </comment>
    <comment ref="F23" authorId="0">
      <text>
        <r>
          <rPr>
            <sz val="9"/>
            <rFont val="Tahoma"/>
            <family val="0"/>
          </rPr>
          <t>Organisch stof- of humusgehalte; de waarden zijn automatisch gecorrigeerd want ze moeten tussen de 2% en 30% liggen; bij PAKs tussen 10% en 30%. Het organisch stofgehalte is gebruikt om de i- en de s-waarden te corrigeren.</t>
        </r>
      </text>
    </comment>
    <comment ref="G23" authorId="0">
      <text>
        <r>
          <rPr>
            <sz val="9"/>
            <rFont val="Tahoma"/>
            <family val="0"/>
          </rPr>
          <t xml:space="preserve">Score per stof. Een Kubel is een m3 die gedurende een jaar is verontreinigd met 1 maal de tussenwaarde van de betreffende stof.
500 kubel is dus 500m3 met 1 maal de tusenwaarde of 5 m3 met 100 maal de tussenwaarde.
</t>
        </r>
      </text>
    </comment>
    <comment ref="J23" authorId="0">
      <text>
        <r>
          <rPr>
            <sz val="9"/>
            <rFont val="Tahoma"/>
            <family val="0"/>
          </rPr>
          <t>score per component</t>
        </r>
      </text>
    </comment>
    <comment ref="A40" authorId="0">
      <text>
        <r>
          <rPr>
            <sz val="9"/>
            <rFont val="Tahoma"/>
            <family val="0"/>
          </rPr>
          <t>Hier wordt de vracht berekend van een verontreinigende stof, voor zover de concentratie van deze stof hoger is dan de streefwaarde s. Vervolgens wordt het verschil bepaald tussen begin- en eindsituatie en gedeeld door (i+s)/2 om de grondwatereq. te bepalen. Tenslotte worden de bijdragen van alle verontreinigende stoffen gesommeerd; Let op! Als er geen verandering optreedt ten opzichte van de huidige situatie, vul hier dan hetzelfde in als bij 'Huidig'.</t>
        </r>
      </text>
    </comment>
    <comment ref="B41" authorId="0">
      <text>
        <r>
          <rPr>
            <sz val="9"/>
            <rFont val="Tahoma"/>
            <family val="0"/>
          </rPr>
          <t>streefwaarde</t>
        </r>
      </text>
    </comment>
    <comment ref="C41" authorId="0">
      <text>
        <r>
          <rPr>
            <sz val="9"/>
            <rFont val="Tahoma"/>
            <family val="0"/>
          </rPr>
          <t>interventiewaarde</t>
        </r>
      </text>
    </comment>
    <comment ref="J41" authorId="0">
      <text>
        <r>
          <rPr>
            <sz val="9"/>
            <rFont val="Tahoma"/>
            <family val="0"/>
          </rPr>
          <t>grondwatervolume verontreinigd met deze component</t>
        </r>
      </text>
    </comment>
    <comment ref="A58" authorId="0">
      <text>
        <r>
          <rPr>
            <sz val="9"/>
            <rFont val="Tahoma"/>
            <family val="0"/>
          </rPr>
          <t>Dit is de netto hoeveelheid grond die verloren gaat, ongeacht de hoeveelheid verontreiniging die erin zit.</t>
        </r>
      </text>
    </comment>
    <comment ref="A59" authorId="0">
      <text>
        <r>
          <rPr>
            <sz val="9"/>
            <rFont val="Tahoma"/>
            <family val="0"/>
          </rPr>
          <t>hoeveelheid grond die van elders wordt aangewend</t>
        </r>
      </text>
    </comment>
    <comment ref="A60" authorId="0">
      <text>
        <r>
          <rPr>
            <sz val="9"/>
            <rFont val="Tahoma"/>
            <family val="0"/>
          </rPr>
          <t>hoeveelheid afgegraven grond die elders wordt hergebruikt</t>
        </r>
      </text>
    </comment>
    <comment ref="A66" authorId="0">
      <text>
        <r>
          <rPr>
            <sz val="9"/>
            <rFont val="Tahoma"/>
            <family val="0"/>
          </rPr>
          <t>Dit is de netto hoeveelheid grondwater die voor de sanering verloren gaat ongeacht hoeveel verontreiniging daar in zit.</t>
        </r>
      </text>
    </comment>
    <comment ref="A67" authorId="0">
      <text>
        <r>
          <rPr>
            <sz val="9"/>
            <rFont val="Tahoma"/>
            <family val="0"/>
          </rPr>
          <t>opgepompte hoeveelheid grondwater (al dan niet verontreinigd)</t>
        </r>
      </text>
    </comment>
    <comment ref="A68" authorId="0">
      <text>
        <r>
          <rPr>
            <sz val="9"/>
            <rFont val="Tahoma"/>
            <family val="0"/>
          </rPr>
          <t>Hoeveelheid opgepompt grondwater die na zuivering weer wordt teruggevoerd naar de grondwatervoorraad.</t>
        </r>
      </text>
    </comment>
    <comment ref="A74" authorId="0">
      <text>
        <r>
          <rPr>
            <sz val="9"/>
            <rFont val="Tahoma"/>
            <family val="0"/>
          </rPr>
          <t>Vul hier in hoeveel energie er wordt gebruikt voor de saneringsoperatie. Voor het gemak is zijn er enkele defaultwaarden (kolom MJ/eenh.) gegeven voor de omrekening van tonnen diesel of tonkm naar MJ. Deze defaultwaarden kunnen eventueel worden aangepast aan de specifieke omstandigheden op de locatie.
Vul bij 12 en 13 andere energiegebruikende operaties in.</t>
        </r>
      </text>
    </comment>
    <comment ref="E75" authorId="0">
      <text>
        <r>
          <rPr>
            <sz val="9"/>
            <rFont val="Tahoma"/>
            <family val="0"/>
          </rPr>
          <t>Gegeven waarden zijn slechts defaults. Voor specifieke locaties kunnen ze worden vervangen door preciezere kentallen.</t>
        </r>
      </text>
    </comment>
    <comment ref="F75" authorId="0">
      <text>
        <r>
          <rPr>
            <sz val="9"/>
            <rFont val="Tahoma"/>
            <family val="0"/>
          </rPr>
          <t>Eenheid bedoeld in kolom direct links van deze. Bijvoorbeeld bij 1, is het dieselgebruik 35 MJ/ton afgegraven grond.</t>
        </r>
      </text>
    </comment>
    <comment ref="C77" authorId="0">
      <text>
        <r>
          <rPr>
            <sz val="9"/>
            <rFont val="Tahoma"/>
            <family val="0"/>
          </rPr>
          <t>Vul in hoeveel ton grond wordt afgegraven.</t>
        </r>
      </text>
    </comment>
    <comment ref="C78" authorId="0">
      <text>
        <r>
          <rPr>
            <sz val="9"/>
            <rFont val="Tahoma"/>
            <family val="0"/>
          </rPr>
          <t>Vul in hoeveel ton grond moet worden vervoerd</t>
        </r>
      </text>
    </comment>
    <comment ref="A79" authorId="0">
      <text>
        <r>
          <rPr>
            <sz val="9"/>
            <rFont val="Tahoma"/>
            <family val="0"/>
          </rPr>
          <t>enkele reis</t>
        </r>
      </text>
    </comment>
    <comment ref="C79" authorId="0">
      <text>
        <r>
          <rPr>
            <sz val="9"/>
            <rFont val="Tahoma"/>
            <family val="0"/>
          </rPr>
          <t>Vervoersafstand in km (enekele reis)</t>
        </r>
      </text>
    </comment>
    <comment ref="C80" authorId="0">
      <text>
        <r>
          <rPr>
            <sz val="9"/>
            <rFont val="Tahoma"/>
            <family val="0"/>
          </rPr>
          <t>Vul in hoeveel ton grond moet worden aangevoerd.</t>
        </r>
      </text>
    </comment>
    <comment ref="A81" authorId="0">
      <text>
        <r>
          <rPr>
            <sz val="9"/>
            <rFont val="Tahoma"/>
            <family val="0"/>
          </rPr>
          <t>enkele reis</t>
        </r>
      </text>
    </comment>
    <comment ref="C81" authorId="0">
      <text>
        <r>
          <rPr>
            <sz val="9"/>
            <rFont val="Tahoma"/>
            <family val="0"/>
          </rPr>
          <t>Vervoersafstand in km, enkele reis.</t>
        </r>
      </text>
    </comment>
    <comment ref="D82" authorId="0">
      <text>
        <r>
          <rPr>
            <sz val="9"/>
            <rFont val="Tahoma"/>
            <family val="0"/>
          </rPr>
          <t>Vul in hoeveel ton grond moet worden gereinigd.</t>
        </r>
      </text>
    </comment>
    <comment ref="D83" authorId="0">
      <text>
        <r>
          <rPr>
            <sz val="9"/>
            <rFont val="Tahoma"/>
            <family val="0"/>
          </rPr>
          <t>Vul in hoeveel ton grond moet worden gereinigd.</t>
        </r>
      </text>
    </comment>
    <comment ref="D84" authorId="0">
      <text>
        <r>
          <rPr>
            <sz val="9"/>
            <rFont val="Tahoma"/>
            <family val="0"/>
          </rPr>
          <t>Vul in hoeveel ton grond moet worden gereinigd.</t>
        </r>
      </text>
    </comment>
    <comment ref="D85" authorId="0">
      <text>
        <r>
          <rPr>
            <sz val="9"/>
            <rFont val="Tahoma"/>
            <family val="0"/>
          </rPr>
          <t>Vul in hoeveel ton grond moet worden gereinigd.</t>
        </r>
      </text>
    </comment>
    <comment ref="E85" authorId="0">
      <text>
        <r>
          <rPr>
            <sz val="9"/>
            <rFont val="Tahoma"/>
            <family val="0"/>
          </rPr>
          <t>Energiegebruik in MJ per ton grond.</t>
        </r>
      </text>
    </comment>
    <comment ref="D86" authorId="0">
      <text>
        <r>
          <rPr>
            <sz val="9"/>
            <rFont val="Tahoma"/>
            <family val="0"/>
          </rPr>
          <t>Vul in hoeveel m3 er moet worden opgepompt.</t>
        </r>
      </text>
    </comment>
    <comment ref="A87" authorId="0">
      <text>
        <r>
          <rPr>
            <sz val="9"/>
            <rFont val="Tahoma"/>
            <family val="0"/>
          </rPr>
          <t>indien niets wordt ingevuld is de voorkeurswaarde 2m</t>
        </r>
      </text>
    </comment>
    <comment ref="C88" authorId="0">
      <text>
        <r>
          <rPr>
            <sz val="9"/>
            <rFont val="Tahoma"/>
            <family val="0"/>
          </rPr>
          <t>Vul in hoeveel m3 er moet worden opgepompt.</t>
        </r>
      </text>
    </comment>
    <comment ref="E88" authorId="0">
      <text>
        <r>
          <rPr>
            <sz val="9"/>
            <rFont val="Tahoma"/>
            <family val="0"/>
          </rPr>
          <t>indien niets wordt ingevuld is de voorkeurswaarde 0.02</t>
        </r>
      </text>
    </comment>
    <comment ref="A89" authorId="0">
      <text>
        <r>
          <rPr>
            <sz val="9"/>
            <rFont val="Tahoma"/>
            <family val="0"/>
          </rPr>
          <t>indien niets wordt ingevuld is de voorkeurswaarde 2m</t>
        </r>
      </text>
    </comment>
    <comment ref="D90" authorId="0">
      <text>
        <r>
          <rPr>
            <sz val="9"/>
            <rFont val="Tahoma"/>
            <family val="0"/>
          </rPr>
          <t>Vul in hoeveel m3 water er moet worden gereinigd.</t>
        </r>
      </text>
    </comment>
    <comment ref="A91" authorId="0">
      <text>
        <r>
          <rPr>
            <sz val="9"/>
            <rFont val="Tahoma"/>
            <family val="0"/>
          </rPr>
          <t>rioolwaterzuiveringsinstallatie</t>
        </r>
      </text>
    </comment>
    <comment ref="D91" authorId="0">
      <text>
        <r>
          <rPr>
            <sz val="9"/>
            <rFont val="Tahoma"/>
            <family val="0"/>
          </rPr>
          <t>Vul in hoeveel m3 water er naar de rioolwaterzuiveringsinstallatie moet worden afgevoerd.</t>
        </r>
      </text>
    </comment>
    <comment ref="A93" authorId="0">
      <text>
        <r>
          <rPr>
            <sz val="9"/>
            <rFont val="Tahoma"/>
            <family val="0"/>
          </rPr>
          <t>Vul hier het dieselgebruik van andere operaties die (fors) energie gebruiken.</t>
        </r>
      </text>
    </comment>
    <comment ref="C93" authorId="0">
      <text>
        <r>
          <rPr>
            <sz val="9"/>
            <rFont val="Tahoma"/>
            <family val="0"/>
          </rPr>
          <t>Vul in hoeveel tonnen diesel nodig is voor andere processen.</t>
        </r>
      </text>
    </comment>
    <comment ref="A94" authorId="0">
      <text>
        <r>
          <rPr>
            <sz val="9"/>
            <rFont val="Tahoma"/>
            <family val="0"/>
          </rPr>
          <t>Vul hier het elektriciteitsgebruik van andere operaties die (fors) energie gebruiken. Eenheid is MJ! 1 kWh komt overeen met 3.6 MJ.</t>
        </r>
      </text>
    </comment>
    <comment ref="D94" authorId="0">
      <text>
        <r>
          <rPr>
            <sz val="9"/>
            <rFont val="Tahoma"/>
            <family val="0"/>
          </rPr>
          <t>Vul hier het elektriciteitsgebruik van andere processen in MJ. 1 kWh komt overeen met 3.6 MJ.</t>
        </r>
      </text>
    </comment>
    <comment ref="A103" authorId="0">
      <text>
        <r>
          <rPr>
            <sz val="9"/>
            <rFont val="Tahoma"/>
            <family val="0"/>
          </rPr>
          <t>Oppervlaktewater emissies worden genormeerd met de grenswaarde uit de evaluatienota water. Als deze niet bekend zijn verschijnt er 'NB' in het venster.</t>
        </r>
      </text>
    </comment>
    <comment ref="B104" authorId="0">
      <text>
        <r>
          <rPr>
            <sz val="9"/>
            <rFont val="Tahoma"/>
            <family val="0"/>
          </rPr>
          <t>grenswaarde in microgram/l</t>
        </r>
      </text>
    </comment>
    <comment ref="C104" authorId="0">
      <text>
        <r>
          <rPr>
            <sz val="9"/>
            <rFont val="Tahoma"/>
            <family val="0"/>
          </rPr>
          <t>concentratie in microgram/liter</t>
        </r>
      </text>
    </comment>
    <comment ref="D104" authorId="0">
      <text>
        <r>
          <rPr>
            <sz val="9"/>
            <rFont val="Tahoma"/>
            <family val="0"/>
          </rPr>
          <t>volume emissie in m3</t>
        </r>
      </text>
    </comment>
    <comment ref="B105" authorId="0">
      <text>
        <r>
          <rPr>
            <sz val="9"/>
            <rFont val="Tahoma"/>
            <family val="0"/>
          </rPr>
          <t>Waarde wordt opgehaald uit werkblad 'Normen' (druk eventueel op F9). 'NB' betekent Niet Bekend - vul dan een waarde in die apart is vastgesteld of die is afgeleid van de norm voor grondwater.</t>
        </r>
      </text>
    </comment>
    <comment ref="A121" authorId="0">
      <text>
        <r>
          <rPr>
            <sz val="9"/>
            <rFont val="Tahoma"/>
            <family val="0"/>
          </rPr>
          <t xml:space="preserve">Denk hierbij onder andere aan:
Afgevoerde grond
Afval grondreiniging
Actieve kool
Slib van waterzuivering
</t>
        </r>
      </text>
    </comment>
    <comment ref="A131" authorId="0">
      <text>
        <r>
          <rPr>
            <sz val="9"/>
            <rFont val="Tahoma"/>
            <family val="0"/>
          </rPr>
          <t>Vul hier in hoeveel ruimte de saneringsoperatie in beslag neemt gedurende de verschillende fases van de sanering. Dat wil zeggen: de ruimte die niet kan worden gebruikt voor enige andere activiteit.
Ruimtebeslag dat 30 jaar na het begin nog voortduurt hoeft niet te worden ingevuld.</t>
        </r>
      </text>
    </comment>
    <comment ref="B132" authorId="0">
      <text>
        <r>
          <rPr>
            <sz val="9"/>
            <rFont val="Tahoma"/>
            <family val="0"/>
          </rPr>
          <t>Indien gewenst kan onderscheid gemaakt worden tussen verschillende fases in het project, bijvoorbeeld afgraving en grondwatersanering. De waarden worden gewoon opgeteld.</t>
        </r>
      </text>
    </comment>
    <comment ref="C98" authorId="1">
      <text>
        <r>
          <rPr>
            <sz val="9"/>
            <rFont val="Tahoma"/>
            <family val="2"/>
          </rPr>
          <t>Gemiddeld energiegebruik per inwoner in Nederland in 1997 was ongeveer 200 GJ</t>
        </r>
        <r>
          <rPr>
            <sz val="9"/>
            <rFont val="Tahoma"/>
            <family val="0"/>
          </rPr>
          <t xml:space="preserve">
</t>
        </r>
      </text>
    </comment>
    <comment ref="C99" authorId="1">
      <text>
        <r>
          <rPr>
            <sz val="9"/>
            <rFont val="Tahoma"/>
            <family val="2"/>
          </rPr>
          <t>Emissies CO2, SO2 en NOx berekend met standaard LCA-omrekenfactoren en gerelateerd aan emissies per capita. Wegen elk even zwaar.</t>
        </r>
      </text>
    </comment>
    <comment ref="E41" authorId="1">
      <text>
        <r>
          <rPr>
            <sz val="9"/>
            <rFont val="Tahoma"/>
            <family val="2"/>
          </rPr>
          <t xml:space="preserve">Score per stof. Een Kubel is een m3 die gedurende een jaar is verontreinigd met 1 maal de tussenwaarde van de betreffende stof.
500 kubel is dus 500m3 met 1 maal de tusenwaarde of 5 m3 met 100 maal de tussenwaarde.
</t>
        </r>
      </text>
    </comment>
    <comment ref="E104" authorId="1">
      <text>
        <r>
          <rPr>
            <sz val="9"/>
            <rFont val="Tahoma"/>
            <family val="2"/>
          </rPr>
          <t xml:space="preserve">Score per stof. Een Kubel is een m3 die is verontreinigd met 1 maal de tussenwaarde van de betreffende stof.
500 kubel is dus 500m3 met 1 maal de tusenwaarde of 5 m3 met 100 maal de tussenwaarde.
</t>
        </r>
      </text>
    </comment>
    <comment ref="D23"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D41" authorId="2">
      <text>
        <r>
          <rPr>
            <sz val="10"/>
            <rFont val="Tahoma"/>
            <family val="2"/>
          </rPr>
          <t>Vul hier de vracht in maal de tijdsduur dat die vracht zich in de bodem bevindt. Tip: gebruik het kladblok.
N.B. Deze waarde wordt afgetrokken van de waarde bij de huidige situatie. Hoe hoger dus de score, hoe lager de milieuverdienste.</t>
        </r>
      </text>
    </comment>
    <comment ref="H23" authorId="1">
      <text>
        <r>
          <rPr>
            <sz val="9"/>
            <rFont val="Tahoma"/>
            <family val="2"/>
          </rPr>
          <t>Aaname is dat de bodemdichtheid 1700 kg/m3  bedraagt.
De vracht dient slechts ter controle en wordt verder niet gebruikt in de berekeningen.</t>
        </r>
      </text>
    </comment>
    <comment ref="A23" authorId="2">
      <text>
        <r>
          <rPr>
            <sz val="10"/>
            <rFont val="Tahoma"/>
            <family val="2"/>
          </rPr>
          <t>De stoffen worden gekopieerd uit het werkblad 'Huidig'. Vul dit werkblad dus eerst in.</t>
        </r>
      </text>
    </comment>
  </commentList>
</comments>
</file>

<file path=xl/sharedStrings.xml><?xml version="1.0" encoding="utf-8"?>
<sst xmlns="http://schemas.openxmlformats.org/spreadsheetml/2006/main" count="1591" uniqueCount="422">
  <si>
    <t>Milieuverdienste in RMK</t>
  </si>
  <si>
    <t>Inhoud:</t>
  </si>
  <si>
    <t xml:space="preserve">Druk op de grijze knoppen om te navigeren tussen de werkbladen; </t>
  </si>
  <si>
    <t>Voor de betekenis van de gebruikte termen en kleuren: druk op 'Hulp'</t>
  </si>
  <si>
    <t>Variant I</t>
  </si>
  <si>
    <t>Variant II</t>
  </si>
  <si>
    <t>Variant III</t>
  </si>
  <si>
    <t>Variant IV</t>
  </si>
  <si>
    <t>Variant V</t>
  </si>
  <si>
    <t>Variant VI</t>
  </si>
  <si>
    <t>Variant VII</t>
  </si>
  <si>
    <t>[Hulpschermen]</t>
  </si>
  <si>
    <t>[Invoerschermen]</t>
  </si>
  <si>
    <t>[Uitvoerschermen]</t>
  </si>
  <si>
    <t>NOBIS</t>
  </si>
  <si>
    <t>Berenschot</t>
  </si>
  <si>
    <t>Tauw Milieu</t>
  </si>
  <si>
    <t>TNO-MEP</t>
  </si>
  <si>
    <t>Milieuvraagstukken</t>
  </si>
  <si>
    <t>Terug naar inhoud:</t>
  </si>
  <si>
    <t>Invoerschermen</t>
  </si>
  <si>
    <t>Verontreinigende stof</t>
  </si>
  <si>
    <t>s' [mg/kg]</t>
  </si>
  <si>
    <t>i' [mg/kg]</t>
  </si>
  <si>
    <t>V [m3]</t>
  </si>
  <si>
    <t>lut. [%]</t>
  </si>
  <si>
    <t>OS [%]</t>
  </si>
  <si>
    <t>s</t>
  </si>
  <si>
    <t>i</t>
  </si>
  <si>
    <t>t'</t>
  </si>
  <si>
    <t>rang</t>
  </si>
  <si>
    <t>A'</t>
  </si>
  <si>
    <t>B'</t>
  </si>
  <si>
    <t>C'</t>
  </si>
  <si>
    <t>OS'</t>
  </si>
  <si>
    <t>Type een verontreiniging:</t>
  </si>
  <si>
    <t>Totaal:</t>
  </si>
  <si>
    <t>s [ug/l]</t>
  </si>
  <si>
    <t>i [ug/l]</t>
  </si>
  <si>
    <t>c [ug/l]</t>
  </si>
  <si>
    <t>t</t>
  </si>
  <si>
    <t>[Verwachte eindsituatie]</t>
  </si>
  <si>
    <t>Variantmenu:</t>
  </si>
  <si>
    <t>OS' [%]</t>
  </si>
  <si>
    <t>Aanvulgrond [m3]</t>
  </si>
  <si>
    <t>Grond voor hergebruik [m3]</t>
  </si>
  <si>
    <t>Gebruikt grondwater [m3]</t>
  </si>
  <si>
    <t>Geïnfiltreerd grondwater [m3]</t>
  </si>
  <si>
    <t>Saneringshandelingen</t>
  </si>
  <si>
    <t>Eenheden</t>
  </si>
  <si>
    <t>MJ/eenh.</t>
  </si>
  <si>
    <t>eenheid</t>
  </si>
  <si>
    <t>Diesel [MJ]</t>
  </si>
  <si>
    <t>Elektr. [MJ]</t>
  </si>
  <si>
    <t xml:space="preserve"> </t>
  </si>
  <si>
    <t>ton (diesel)</t>
  </si>
  <si>
    <t>ton</t>
  </si>
  <si>
    <t>per ton.km</t>
  </si>
  <si>
    <t xml:space="preserve">  Afstand transport (afvoer grond)</t>
  </si>
  <si>
    <t>km (diesel)</t>
  </si>
  <si>
    <t xml:space="preserve">  Afstand transport (aanvoer grond)</t>
  </si>
  <si>
    <t>ton (elektr.)</t>
  </si>
  <si>
    <t>m3 (elektr.)</t>
  </si>
  <si>
    <t>per m3/m</t>
  </si>
  <si>
    <t xml:space="preserve">    Opvoerhoogte pomp</t>
  </si>
  <si>
    <t>m</t>
  </si>
  <si>
    <t>m3 (diesel)</t>
  </si>
  <si>
    <t xml:space="preserve">m </t>
  </si>
  <si>
    <t>m3</t>
  </si>
  <si>
    <t>12 Overige diesel</t>
  </si>
  <si>
    <t>13 Overige elektriciteit</t>
  </si>
  <si>
    <t>MJ</t>
  </si>
  <si>
    <t>Totaal</t>
  </si>
  <si>
    <t>GJ</t>
  </si>
  <si>
    <t>inw.eq</t>
  </si>
  <si>
    <t>Afval grondreiniging [m3]</t>
  </si>
  <si>
    <t>Afval waterzuivering [m3]</t>
  </si>
  <si>
    <t>Overig afval [m3]</t>
  </si>
  <si>
    <t>Fase I</t>
  </si>
  <si>
    <t>Fase II</t>
  </si>
  <si>
    <t>Fase III</t>
  </si>
  <si>
    <t>Fase IV</t>
  </si>
  <si>
    <t>Fase V</t>
  </si>
  <si>
    <t>ruimtebeslag door sanering [m2]</t>
  </si>
  <si>
    <t>tijdsduur saneringsfase [jaar]</t>
  </si>
  <si>
    <t>Ruimtebeslag:</t>
  </si>
  <si>
    <t>prestatie</t>
  </si>
  <si>
    <r>
      <t>m</t>
    </r>
    <r>
      <rPr>
        <vertAlign val="superscript"/>
        <sz val="10"/>
        <rFont val="Arial"/>
        <family val="2"/>
      </rPr>
      <t>3</t>
    </r>
  </si>
  <si>
    <r>
      <t>1000 m</t>
    </r>
    <r>
      <rPr>
        <vertAlign val="superscript"/>
        <sz val="10"/>
        <rFont val="Arial"/>
        <family val="2"/>
      </rPr>
      <t>3</t>
    </r>
  </si>
  <si>
    <r>
      <t>m</t>
    </r>
    <r>
      <rPr>
        <vertAlign val="superscript"/>
        <sz val="10"/>
        <rFont val="Arial"/>
        <family val="2"/>
      </rPr>
      <t>2</t>
    </r>
    <r>
      <rPr>
        <sz val="10"/>
        <rFont val="Arial"/>
        <family val="0"/>
      </rPr>
      <t>.jaar</t>
    </r>
  </si>
  <si>
    <t>Resultaten met defaultgewichtenset</t>
  </si>
  <si>
    <t>Menu Resultaten:</t>
  </si>
  <si>
    <t>Gewichtenset</t>
  </si>
  <si>
    <t>Tabel prestaties</t>
  </si>
  <si>
    <t>Tabel gewogen prestaties (default)</t>
  </si>
  <si>
    <t>Grafiek gewogen prestaties</t>
  </si>
  <si>
    <t>Grafiek bijdrage elk aspect</t>
  </si>
  <si>
    <t>Aspect</t>
  </si>
  <si>
    <t>Eenheid</t>
  </si>
  <si>
    <t>Gewicht</t>
  </si>
  <si>
    <t>Milieuverdienste gewogen prestaties met default gewichtenset</t>
  </si>
  <si>
    <t>M-index</t>
  </si>
  <si>
    <t>Onzekerheid in score</t>
  </si>
  <si>
    <t>Grafiek onzekerheid score</t>
  </si>
  <si>
    <t>Milieuverdienste-index</t>
  </si>
  <si>
    <t>Normen uit de Leidraad Bodembescherming en Evaluatienota Water</t>
  </si>
  <si>
    <t>Bodem</t>
  </si>
  <si>
    <t>Grondwater</t>
  </si>
  <si>
    <t>Oppervlaktewater</t>
  </si>
  <si>
    <t>Verontreinigings-</t>
  </si>
  <si>
    <t>Streef-waarde</t>
  </si>
  <si>
    <t>Interventiewaarde</t>
  </si>
  <si>
    <t>component</t>
  </si>
  <si>
    <t xml:space="preserve">i </t>
  </si>
  <si>
    <t>s_w</t>
  </si>
  <si>
    <t>i_w</t>
  </si>
  <si>
    <t>s_wo</t>
  </si>
  <si>
    <t>[mg/kg]</t>
  </si>
  <si>
    <t xml:space="preserve"> [mg/kg]</t>
  </si>
  <si>
    <r>
      <t xml:space="preserve"> [</t>
    </r>
    <r>
      <rPr>
        <sz val="9"/>
        <rFont val="Symbol"/>
        <family val="1"/>
      </rPr>
      <t>m</t>
    </r>
    <r>
      <rPr>
        <sz val="9"/>
        <rFont val="Arial"/>
        <family val="2"/>
      </rPr>
      <t>g/l]</t>
    </r>
  </si>
  <si>
    <t>[µg/l]</t>
  </si>
  <si>
    <t>Kies verontreiniging (TT):</t>
  </si>
  <si>
    <t>ANORGANISCHE VERBINDINGEN</t>
  </si>
  <si>
    <t>antimoon</t>
  </si>
  <si>
    <t>NB</t>
  </si>
  <si>
    <t>arseen</t>
  </si>
  <si>
    <t>barium</t>
  </si>
  <si>
    <t>beryllium</t>
  </si>
  <si>
    <t>cadmium</t>
  </si>
  <si>
    <t>chroom</t>
  </si>
  <si>
    <t>cobalt</t>
  </si>
  <si>
    <t>koper</t>
  </si>
  <si>
    <t>kwik</t>
  </si>
  <si>
    <t>lood</t>
  </si>
  <si>
    <t>molybdeen</t>
  </si>
  <si>
    <t>tin</t>
  </si>
  <si>
    <t>nikkel</t>
  </si>
  <si>
    <t>zink</t>
  </si>
  <si>
    <t>zilver</t>
  </si>
  <si>
    <t>cyanide (vrij)</t>
  </si>
  <si>
    <t>cyanide-complex (pH=&gt;5)</t>
  </si>
  <si>
    <t>cyanide-complex (pH&lt;5)</t>
  </si>
  <si>
    <t>thiocyanaten (som)</t>
  </si>
  <si>
    <t>ORGANISCHE STOFFEN</t>
  </si>
  <si>
    <t>acrylonitril</t>
  </si>
  <si>
    <t>aromatische oplosmiddelen</t>
  </si>
  <si>
    <t>benzeen</t>
  </si>
  <si>
    <t>butanol (som)</t>
  </si>
  <si>
    <t>butylacetaat</t>
  </si>
  <si>
    <t>catechol</t>
  </si>
  <si>
    <t>cresolen (som)</t>
  </si>
  <si>
    <t>cyclohexanon</t>
  </si>
  <si>
    <t>diethyleenglycol</t>
  </si>
  <si>
    <t>dodecylbenzeen</t>
  </si>
  <si>
    <t>ethylbenzeen</t>
  </si>
  <si>
    <t>ethyleenglycol</t>
  </si>
  <si>
    <t>fenol</t>
  </si>
  <si>
    <t>formaldehyde</t>
  </si>
  <si>
    <t>ftalaten (som)</t>
  </si>
  <si>
    <t>hydrochinon</t>
  </si>
  <si>
    <t>methanol</t>
  </si>
  <si>
    <t>methylethylketon (MEK)</t>
  </si>
  <si>
    <t>methyltertbutylether (MTBE)</t>
  </si>
  <si>
    <t>minerale olie</t>
  </si>
  <si>
    <t>pyridine</t>
  </si>
  <si>
    <t>resorcinol</t>
  </si>
  <si>
    <t>styreen</t>
  </si>
  <si>
    <t>tetrahydrofuran</t>
  </si>
  <si>
    <t>tetrahydrothiofeen</t>
  </si>
  <si>
    <t>tolueen</t>
  </si>
  <si>
    <t>xylenen</t>
  </si>
  <si>
    <t>PAK</t>
  </si>
  <si>
    <t>antraceen</t>
  </si>
  <si>
    <t>benzo(a)antraceen</t>
  </si>
  <si>
    <t>benzo(a)pyreen</t>
  </si>
  <si>
    <t>benzo(ghi)peryleen</t>
  </si>
  <si>
    <t>benzo(k)fluorantheen</t>
  </si>
  <si>
    <t>chryseen</t>
  </si>
  <si>
    <t>fenantreen</t>
  </si>
  <si>
    <t>fluorantheen</t>
  </si>
  <si>
    <t>indenol(1,2,3-cd)pyreen</t>
  </si>
  <si>
    <t>naftaleen</t>
  </si>
  <si>
    <t>PAK (som 10)</t>
  </si>
  <si>
    <t>GECHLOREERDE KOOLWATERSTOFFEN</t>
  </si>
  <si>
    <t>chloorbenzenen (som)</t>
  </si>
  <si>
    <t>chloorfenolen (som)</t>
  </si>
  <si>
    <t>chloornaftaleen</t>
  </si>
  <si>
    <t>dichloorbenzenen (som)</t>
  </si>
  <si>
    <t>1,1-dichloorethaan</t>
  </si>
  <si>
    <t>1,2-dichloorethaan</t>
  </si>
  <si>
    <t>1,2-dichlooretheen</t>
  </si>
  <si>
    <t>dichloormethaan</t>
  </si>
  <si>
    <t>dichloorfenolen (som)</t>
  </si>
  <si>
    <t>dioxine (som)</t>
  </si>
  <si>
    <t>hexachloorbenzeen</t>
  </si>
  <si>
    <t>monochloorbenzeen</t>
  </si>
  <si>
    <t>monochloorfenolen (som)</t>
  </si>
  <si>
    <t>overige gechloreerde kws</t>
  </si>
  <si>
    <t>pentachloorbenzeen</t>
  </si>
  <si>
    <t>pcb's (som 7)</t>
  </si>
  <si>
    <t>tetrachloorbenzenen (som)</t>
  </si>
  <si>
    <t>tetrachlooretheen</t>
  </si>
  <si>
    <t>tetrachlorfenolen (som)</t>
  </si>
  <si>
    <t>tetrachloormethaan</t>
  </si>
  <si>
    <t>trichloorbenzenen (som)</t>
  </si>
  <si>
    <t>trichlooretheen</t>
  </si>
  <si>
    <t>trichloorfenolen (som)</t>
  </si>
  <si>
    <t>trichloormethaan</t>
  </si>
  <si>
    <t>1,1,1-trichloorethaan</t>
  </si>
  <si>
    <t>1,1,2-trichloorethaan</t>
  </si>
  <si>
    <t>vinylchloride</t>
  </si>
  <si>
    <t>BESTRIJDINGSMIDDELEN</t>
  </si>
  <si>
    <t>aldrin</t>
  </si>
  <si>
    <t>atrazine</t>
  </si>
  <si>
    <t>azinofosmethyl</t>
  </si>
  <si>
    <t>carbaryl</t>
  </si>
  <si>
    <t>carbofuran</t>
  </si>
  <si>
    <t>chloordaan</t>
  </si>
  <si>
    <t>DDT/ DDE/ DDD (som)</t>
  </si>
  <si>
    <t>dieldrin</t>
  </si>
  <si>
    <t>drins (som)</t>
  </si>
  <si>
    <t>endosulfan</t>
  </si>
  <si>
    <t>endrin</t>
  </si>
  <si>
    <t>hch-verbindingen (som)</t>
  </si>
  <si>
    <t>alfa-hch</t>
  </si>
  <si>
    <t>beta-hch</t>
  </si>
  <si>
    <t>gamma-hch (lindaan)</t>
  </si>
  <si>
    <t>heptachloor</t>
  </si>
  <si>
    <t>heptachloorepoxide</t>
  </si>
  <si>
    <t>maneb</t>
  </si>
  <si>
    <t>organotinverbindingen</t>
  </si>
  <si>
    <t>overige Cl-houdende bestr.midd.</t>
  </si>
  <si>
    <t>overige niet-Cl-houdende bestr.midd.</t>
  </si>
  <si>
    <t>pentachloorfenol</t>
  </si>
  <si>
    <t>RMK</t>
  </si>
  <si>
    <t xml:space="preserve">Het RMK-project werd uitgevoerd in opdracht van Nobis (Nederlands Onderzoeksprogramma Biotechnologische In-situ Sanering), tezamen met het ministerie van VROM, de Provincie </t>
  </si>
  <si>
    <t xml:space="preserve">Gelderland, Shell International Oil Products bv en het Gemeentelijk Havenbedrijf Rotterdam. </t>
  </si>
  <si>
    <t>Het onderdeel Milieuverdienste is uitgevoerd door het Instituut voor Milieuvraagstukken van de Vrije Universiteit Amsterdam.</t>
  </si>
  <si>
    <t>Doelstellingen</t>
  </si>
  <si>
    <t xml:space="preserve">Het RMK-project heeft als doelstelling: </t>
  </si>
  <si>
    <t>De ontwikkeling van een beslissingondersteunend model voor het evalueren, vergelijken en ordenen van mogelijke bodemsaneringsalternatieven.</t>
  </si>
  <si>
    <t xml:space="preserve">Behalve als beslissingsondersteunend middel kan de RMK-methodiek ook fungeren als hulpmiddel voor het positioneren van innovatieve saneringstechnieken en voor de evaluatie van reeds uitgevoerde saneringen. </t>
  </si>
  <si>
    <t>De RMK-methodiek is ontwikkeld om alternatieven te beoordelen voor het saneren van een bepaalde verontreinigde bodem en is niet geschikt om vast te stellen welke verontreinigde bodems als eerste gesaneerd moeten worden (prioritering).</t>
  </si>
  <si>
    <t>Milieuverdienste</t>
  </si>
  <si>
    <t xml:space="preserve">Milieuverdienste is het resultaat van een geïntegreerde evaluatie van boven-lokale, niet-object-gerelateerde milieugevolgen veroorzaakt door een verontreinigde lokatie en de sanering van deze lokatie. </t>
  </si>
  <si>
    <t xml:space="preserve">De verdienste voor het milieu is het verschil tussen de aanvangssituatie en de eindsituatie van de sanering. </t>
  </si>
  <si>
    <t xml:space="preserve">Uitgangspunt van de evaluatie is het streven naar een duurzame samenleving. </t>
  </si>
  <si>
    <t>Milieuverdienste wordt daarom berekend op basis van het beslag dat wordt gelegd op schaarse grondstoffen en ruimte, en de verwachte verandering van de milieukwaliteit.</t>
  </si>
  <si>
    <t>Hulp</t>
  </si>
  <si>
    <t>Legenda</t>
  </si>
  <si>
    <t>=</t>
  </si>
  <si>
    <t>invulscherm</t>
  </si>
  <si>
    <t>tabel</t>
  </si>
  <si>
    <t>rode getallen zijn de scores per aspect</t>
  </si>
  <si>
    <t>Tip:</t>
  </si>
  <si>
    <t>Dit werkboek bevat veel berekeningen. Indien deze (te) lang duren</t>
  </si>
  <si>
    <t>adviseren we de gebruiker de optie 'automatisch berekenen'</t>
  </si>
  <si>
    <t>(zie [tools][options][calculation]) uit te zetten. Berekeningen worden</t>
  </si>
  <si>
    <t>dan pas uitgevoerd als u op F9 drukt.</t>
  </si>
  <si>
    <t>Notes:</t>
  </si>
  <si>
    <t>Ze zijn leesbaar door er met de muis op te staan.</t>
  </si>
  <si>
    <t>Omschrijvingen van de aspecten</t>
  </si>
  <si>
    <t>en luchtemisssies</t>
  </si>
  <si>
    <t>emissies</t>
  </si>
  <si>
    <t>Nulvariant</t>
  </si>
  <si>
    <t>Jaar</t>
  </si>
  <si>
    <t>Variant</t>
  </si>
  <si>
    <t>Vrachten</t>
  </si>
  <si>
    <t>V</t>
  </si>
  <si>
    <t>c</t>
  </si>
  <si>
    <t>Som:</t>
  </si>
  <si>
    <t>Oppervlak</t>
  </si>
  <si>
    <t>Water-kubels [m3]</t>
  </si>
  <si>
    <t>Vracht [kg] (approx.)</t>
  </si>
  <si>
    <t>Vracht [kg]</t>
  </si>
  <si>
    <t>Elektriciteit</t>
  </si>
  <si>
    <t xml:space="preserve">Vergelijking van de resultaten </t>
  </si>
  <si>
    <t>Effectenoverzicht</t>
  </si>
  <si>
    <t>verschil</t>
  </si>
  <si>
    <t>A1</t>
  </si>
  <si>
    <t>A2</t>
  </si>
  <si>
    <t>A4</t>
  </si>
  <si>
    <t>A5</t>
  </si>
  <si>
    <t>A6</t>
  </si>
  <si>
    <t>A7</t>
  </si>
  <si>
    <t>A8</t>
  </si>
  <si>
    <t>A9</t>
  </si>
  <si>
    <t>A10</t>
  </si>
  <si>
    <t>ander variant wilt vergelijken</t>
  </si>
  <si>
    <t xml:space="preserve">Kies hier de variant waarmee u een </t>
  </si>
  <si>
    <t xml:space="preserve">Kies hier de variant die u wilt </t>
  </si>
  <si>
    <t>beoordelen</t>
  </si>
  <si>
    <t>Genormaliseerd effectenoverzicht</t>
  </si>
  <si>
    <t>1000 m3</t>
  </si>
  <si>
    <t>Inw. eq.</t>
  </si>
  <si>
    <t>m2.jaar</t>
  </si>
  <si>
    <t>Uitvoerscherm</t>
  </si>
  <si>
    <t>Keuzemenu vergelijking varianten</t>
  </si>
  <si>
    <t>Terug naar de inhoud:</t>
  </si>
  <si>
    <t>Menu vergelijking:</t>
  </si>
  <si>
    <t>Grafiek vergelijking twee varianten</t>
  </si>
  <si>
    <t>1000 G-Kubels</t>
  </si>
  <si>
    <t>1000 W-Kubels</t>
  </si>
  <si>
    <t>1000 O-Kubels</t>
  </si>
  <si>
    <t>Default Gewicht</t>
  </si>
  <si>
    <t>Marges</t>
  </si>
  <si>
    <t>Marge</t>
  </si>
  <si>
    <t>SD</t>
  </si>
  <si>
    <r>
      <t xml:space="preserve">Standaardeviatie driehoeksverdeling </t>
    </r>
    <r>
      <rPr>
        <sz val="10"/>
        <rFont val="Symbol"/>
        <family val="1"/>
      </rPr>
      <t>s</t>
    </r>
  </si>
  <si>
    <t>Onzekerheidsanalyse</t>
  </si>
  <si>
    <t>Menu onzekerheidsanalyse:</t>
  </si>
  <si>
    <t>Huidige situatie</t>
  </si>
  <si>
    <t>Score Milieuverdienste:</t>
  </si>
  <si>
    <t>Per jaar:</t>
  </si>
  <si>
    <t>Theoretisch maximum</t>
  </si>
  <si>
    <t>verlies aan grond</t>
  </si>
  <si>
    <t>M7 opp. wateremissies</t>
  </si>
  <si>
    <t>M9 ruimtebeslag</t>
  </si>
  <si>
    <t>M5 energiegebruik</t>
  </si>
  <si>
    <t>M6 luchtemissies</t>
  </si>
  <si>
    <t>M1 grondkwaliteit</t>
  </si>
  <si>
    <t>M2 grondwaterkwaliteit</t>
  </si>
  <si>
    <t>M3 verlies grond</t>
  </si>
  <si>
    <t>M4 verlies grondwater</t>
  </si>
  <si>
    <t>Referentie</t>
  </si>
  <si>
    <t>Diesel of Gas</t>
  </si>
  <si>
    <t xml:space="preserve">12 Gasverbruik </t>
  </si>
  <si>
    <t>m3 (gas)</t>
  </si>
  <si>
    <t>Vracht [mg.m3.jr/kg]</t>
  </si>
  <si>
    <t>Verwijderde vracht [kg]</t>
  </si>
  <si>
    <t>Vracht [ug.l.jr/kg]</t>
  </si>
  <si>
    <t>Aspecten / Expert nr.</t>
  </si>
  <si>
    <t>AVG</t>
  </si>
  <si>
    <t>schone grond door sanering</t>
  </si>
  <si>
    <t>schoon grondwater door sanering</t>
  </si>
  <si>
    <t>voorkomen verontreiniging grondwater</t>
  </si>
  <si>
    <t>verlies aan grondwater</t>
  </si>
  <si>
    <t>energiegebruik</t>
  </si>
  <si>
    <t>luchtemissies</t>
  </si>
  <si>
    <t>oppervlaktewateremissies</t>
  </si>
  <si>
    <t>finaal afval</t>
  </si>
  <si>
    <t>Milieuverdienst-index per expert</t>
  </si>
  <si>
    <t>ruimtebeslag</t>
  </si>
  <si>
    <t>Expert 1</t>
  </si>
  <si>
    <t>Expert 2</t>
  </si>
  <si>
    <t>Expert 3</t>
  </si>
  <si>
    <t>Expert 4</t>
  </si>
  <si>
    <t>Expert 5</t>
  </si>
  <si>
    <t>Expert 6</t>
  </si>
  <si>
    <t>Expert 7</t>
  </si>
  <si>
    <t>Expert 8</t>
  </si>
  <si>
    <t>Rangorde per expert:</t>
  </si>
  <si>
    <t>Hoogste</t>
  </si>
  <si>
    <t>Tweede</t>
  </si>
  <si>
    <t>Derde</t>
  </si>
  <si>
    <t>Gemiddeld</t>
  </si>
  <si>
    <t>Gewichten - nieuw</t>
  </si>
  <si>
    <t>Gewichten - origineel</t>
  </si>
  <si>
    <t>Prestatie genormeerd</t>
  </si>
  <si>
    <t>Onzekerheid in gewichten</t>
  </si>
  <si>
    <t>1000 kubels</t>
  </si>
  <si>
    <t>Opp. water-kubels [m3]</t>
  </si>
  <si>
    <t>Stofnaam</t>
  </si>
  <si>
    <t>s-waarde</t>
  </si>
  <si>
    <t>mg/kg</t>
  </si>
  <si>
    <t>Volume [m3]</t>
  </si>
  <si>
    <t>vracht</t>
  </si>
  <si>
    <t>gem. vracht per jaar:</t>
  </si>
  <si>
    <t>Grond</t>
  </si>
  <si>
    <t>Grond- kubels [m3]</t>
  </si>
  <si>
    <t>Menu Huidige situatie</t>
  </si>
  <si>
    <t>1 Af te graven grond</t>
  </si>
  <si>
    <t>2 Af te voeren grond</t>
  </si>
  <si>
    <t>3 Aan te voeren grond</t>
  </si>
  <si>
    <t>4 In situ grondreiniging</t>
  </si>
  <si>
    <t>5 Extratieve grondreiniging</t>
  </si>
  <si>
    <t>6 Thermische grondreiniging</t>
  </si>
  <si>
    <t>7 Overige grondreiniging</t>
  </si>
  <si>
    <t>8 Grondwateronttrekking</t>
  </si>
  <si>
    <t>9 Grondwateronttrekking</t>
  </si>
  <si>
    <t>10 Te reinigen water</t>
  </si>
  <si>
    <t>11 Water naar RWZI</t>
  </si>
  <si>
    <t>M5/6 energiegebruik en emissies</t>
  </si>
  <si>
    <t>de circulaire "Interventiewaarden Bodemsanering", Staatscourant 1994, 95</t>
  </si>
  <si>
    <t>de circulaire "Interventiewaarden Bodemsanering voor PAK", Staatscourant 1996, 120</t>
  </si>
  <si>
    <t>de circulaire "Interventiewaarden Bodemsanering 2de en 3de tranche", Staatscourant 1997, 169</t>
  </si>
  <si>
    <t>de circulaire "Aanpassing Interventiewaarden Bodemsanering", Staatscourant 1998, 127</t>
  </si>
  <si>
    <t xml:space="preserve">De s- en i- waarden zijn gebaseerd op </t>
  </si>
  <si>
    <t xml:space="preserve">Aan het RMK-model en de bijbehorende Excel-sjablonen kunnen geen rechten worden ontleend. Het RMK-consortium </t>
  </si>
  <si>
    <t>aanvaardt geen enkele aansprakelijkheid voor schade, van welke aard dan ook, die het gevolg is van handelingen</t>
  </si>
  <si>
    <t>of beslissingen die gebaseerd zijn op het RMK-model of de RMK-methodiek.</t>
  </si>
  <si>
    <t>tijdsinterval:</t>
  </si>
  <si>
    <t>MTR</t>
  </si>
  <si>
    <t>i_wo</t>
  </si>
  <si>
    <t>t [ug/l]</t>
  </si>
  <si>
    <t>begin met het invullen van de huidige situatie.</t>
  </si>
  <si>
    <t xml:space="preserve">   Osborne</t>
  </si>
  <si>
    <t xml:space="preserve">   Instituut voor </t>
  </si>
  <si>
    <t>Multifuctioneel ref</t>
  </si>
  <si>
    <t>MF-referentie</t>
  </si>
  <si>
    <t>M5/6 energiegebruik</t>
  </si>
  <si>
    <t>M7 oppervlaktewater-</t>
  </si>
  <si>
    <t>Grafiek vergelijking twee varianten 2</t>
  </si>
  <si>
    <t>Alt. gewicht</t>
  </si>
  <si>
    <t>Bij 'detectielimiet' is de waarde 0 gekozen.</t>
  </si>
  <si>
    <t>Totale omvang van de locatie:</t>
  </si>
  <si>
    <t>M8 afvalvorming</t>
  </si>
  <si>
    <r>
      <t xml:space="preserve">s </t>
    </r>
    <r>
      <rPr>
        <sz val="10"/>
        <rFont val="Arial"/>
        <family val="2"/>
      </rPr>
      <t>[mg/kg]</t>
    </r>
  </si>
  <si>
    <r>
      <t xml:space="preserve">c </t>
    </r>
    <r>
      <rPr>
        <sz val="10"/>
        <rFont val="Arial"/>
        <family val="2"/>
      </rPr>
      <t>[mg/kg]</t>
    </r>
  </si>
  <si>
    <r>
      <t xml:space="preserve">V </t>
    </r>
    <r>
      <rPr>
        <sz val="10"/>
        <rFont val="Arial"/>
        <family val="2"/>
      </rPr>
      <t>[m3]</t>
    </r>
  </si>
  <si>
    <r>
      <t>Vrachten</t>
    </r>
    <r>
      <rPr>
        <i/>
        <sz val="10"/>
        <rFont val="Arial"/>
        <family val="2"/>
      </rPr>
      <t xml:space="preserve"> [mg.m3/kg]</t>
    </r>
  </si>
  <si>
    <t>Resultaten met alternatieve gewichtenset</t>
  </si>
  <si>
    <t>Sommige cellen toegelicht met notes.</t>
  </si>
  <si>
    <t>c [ug/ l]</t>
  </si>
  <si>
    <t>Concentratie [ug/l]</t>
  </si>
  <si>
    <t>ug/l</t>
  </si>
  <si>
    <t>Concentratie [mg/kg]</t>
  </si>
  <si>
    <t>Vracht [m3]</t>
  </si>
  <si>
    <t>Vracht [m3.jr]</t>
  </si>
  <si>
    <t>m3.jr</t>
  </si>
  <si>
    <t>[Verwachte situatie na 30 jaar]</t>
  </si>
  <si>
    <t>c [mg/kg]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</si>
</sst>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Fl.&quot;\ #,##0_-;&quot;Fl.&quot;\ #,##0\-"/>
    <numFmt numFmtId="171" formatCode="&quot;Fl.&quot;\ #,##0_-;[Red]&quot;Fl.&quot;\ #,##0\-"/>
    <numFmt numFmtId="172" formatCode="&quot;Fl.&quot;\ #,##0.00_-;&quot;Fl.&quot;\ #,##0.00\-"/>
    <numFmt numFmtId="173" formatCode="&quot;Fl.&quot;\ #,##0.00_-;[Red]&quot;Fl.&quot;\ #,##0.00\-"/>
    <numFmt numFmtId="174" formatCode="_-&quot;Fl.&quot;\ * #,##0_-;_-&quot;Fl.&quot;\ * #,##0\-;_-&quot;Fl.&quot;\ * &quot;-&quot;_-;_-@_-"/>
    <numFmt numFmtId="175" formatCode="_-* #,##0_-;_-* #,##0\-;_-* &quot;-&quot;_-;_-@_-"/>
    <numFmt numFmtId="176" formatCode="_-&quot;Fl.&quot;\ * #,##0.00_-;_-&quot;Fl.&quot;\ * #,##0.00\-;_-&quot;Fl.&quot;\ * &quot;-&quot;??_-;_-@_-"/>
    <numFmt numFmtId="177" formatCode="_-* #,##0.00_-;_-* #,##0.00\-;_-* &quot;-&quot;??_-;_-@_-"/>
    <numFmt numFmtId="178" formatCode="&quot;F&quot;\ #,##0_-;&quot;F&quot;\ #,##0\-"/>
    <numFmt numFmtId="179" formatCode="&quot;F&quot;\ #,##0_-;[Red]&quot;F&quot;\ #,##0\-"/>
    <numFmt numFmtId="180" formatCode="&quot;F&quot;\ #,##0.00_-;&quot;F&quot;\ #,##0.00\-"/>
    <numFmt numFmtId="181" formatCode="&quot;F&quot;\ #,##0.00_-;[Red]&quot;F&quot;\ #,##0.00\-"/>
    <numFmt numFmtId="182" formatCode="_-&quot;F&quot;\ * #,##0_-;_-&quot;F&quot;\ * #,##0\-;_-&quot;F&quot;\ * &quot;-&quot;_-;_-@_-"/>
    <numFmt numFmtId="183" formatCode="_-&quot;F&quot;\ * #,##0.00_-;_-&quot;F&quot;\ * #,##0.00\-;_-&quot;F&quot;\ * &quot;-&quot;??_-;_-@_-"/>
    <numFmt numFmtId="184" formatCode="0.000"/>
    <numFmt numFmtId="185" formatCode="#,##0.000"/>
    <numFmt numFmtId="186" formatCode="0.0"/>
    <numFmt numFmtId="187" formatCode="0.0E+00"/>
    <numFmt numFmtId="188" formatCode="0.0000000000000000%"/>
    <numFmt numFmtId="189" formatCode="0.00000000000000%"/>
    <numFmt numFmtId="190" formatCode="dd/mm/yyyy"/>
    <numFmt numFmtId="191" formatCode="m/d/yyyy"/>
  </numFmts>
  <fonts count="57">
    <font>
      <sz val="10"/>
      <name val="Arial"/>
      <family val="0"/>
    </font>
    <font>
      <b/>
      <sz val="10"/>
      <name val="Arial"/>
      <family val="0"/>
    </font>
    <font>
      <i/>
      <sz val="10"/>
      <name val="Arial"/>
      <family val="0"/>
    </font>
    <font>
      <b/>
      <i/>
      <sz val="10"/>
      <name val="Arial"/>
      <family val="0"/>
    </font>
    <font>
      <sz val="16"/>
      <name val="Arial"/>
      <family val="2"/>
    </font>
    <font>
      <b/>
      <i/>
      <sz val="12"/>
      <name val="Arial"/>
      <family val="2"/>
    </font>
    <font>
      <sz val="10"/>
      <color indexed="10"/>
      <name val="Arial"/>
      <family val="2"/>
    </font>
    <font>
      <sz val="10"/>
      <color indexed="23"/>
      <name val="Arial"/>
      <family val="2"/>
    </font>
    <font>
      <i/>
      <sz val="10"/>
      <color indexed="23"/>
      <name val="Arial"/>
      <family val="0"/>
    </font>
    <font>
      <sz val="8"/>
      <name val="Arial"/>
      <family val="0"/>
    </font>
    <font>
      <sz val="14"/>
      <name val="Arial"/>
      <family val="2"/>
    </font>
    <font>
      <sz val="12"/>
      <name val="Arial"/>
      <family val="2"/>
    </font>
    <font>
      <i/>
      <sz val="10"/>
      <color indexed="63"/>
      <name val="Arial"/>
      <family val="0"/>
    </font>
    <font>
      <sz val="9"/>
      <name val="Arial"/>
      <family val="2"/>
    </font>
    <font>
      <sz val="9"/>
      <name val="Symbol"/>
      <family val="1"/>
    </font>
    <font>
      <sz val="9"/>
      <color indexed="8"/>
      <name val="Arial"/>
      <family val="0"/>
    </font>
    <font>
      <i/>
      <sz val="9"/>
      <color indexed="8"/>
      <name val="Arial"/>
      <family val="0"/>
    </font>
    <font>
      <i/>
      <sz val="9"/>
      <name val="Arial"/>
      <family val="0"/>
    </font>
    <font>
      <sz val="9"/>
      <color indexed="10"/>
      <name val="Arial"/>
      <family val="2"/>
    </font>
    <font>
      <vertAlign val="superscript"/>
      <sz val="10"/>
      <name val="Arial"/>
      <family val="2"/>
    </font>
    <font>
      <b/>
      <sz val="14"/>
      <name val="Arial"/>
      <family val="0"/>
    </font>
    <font>
      <b/>
      <sz val="16"/>
      <name val="Arial"/>
      <family val="2"/>
    </font>
    <font>
      <b/>
      <sz val="14"/>
      <color indexed="8"/>
      <name val="Arial"/>
      <family val="2"/>
    </font>
    <font>
      <sz val="8"/>
      <name val="Tahoma"/>
      <family val="2"/>
    </font>
    <font>
      <sz val="9"/>
      <name val="Tahoma"/>
      <family val="0"/>
    </font>
    <font>
      <sz val="8.25"/>
      <name val="Arial"/>
      <family val="2"/>
    </font>
    <font>
      <vertAlign val="subscript"/>
      <sz val="10"/>
      <name val="Arial"/>
      <family val="2"/>
    </font>
    <font>
      <sz val="11.75"/>
      <name val="Arial"/>
      <family val="0"/>
    </font>
    <font>
      <b/>
      <sz val="11.75"/>
      <name val="Arial"/>
      <family val="0"/>
    </font>
    <font>
      <sz val="15.25"/>
      <name val="Arial"/>
      <family val="0"/>
    </font>
    <font>
      <sz val="10.25"/>
      <name val="Arial"/>
      <family val="0"/>
    </font>
    <font>
      <sz val="11.5"/>
      <name val="Arial"/>
      <family val="0"/>
    </font>
    <font>
      <sz val="8.75"/>
      <name val="Arial"/>
      <family val="2"/>
    </font>
    <font>
      <b/>
      <sz val="8"/>
      <name val="Arial"/>
      <family val="2"/>
    </font>
    <font>
      <sz val="8"/>
      <color indexed="23"/>
      <name val="Arial"/>
      <family val="2"/>
    </font>
    <font>
      <sz val="11.5"/>
      <color indexed="56"/>
      <name val="Arial"/>
      <family val="2"/>
    </font>
    <font>
      <sz val="11.45"/>
      <color indexed="56"/>
      <name val="Arial"/>
      <family val="2"/>
    </font>
    <font>
      <sz val="10"/>
      <color indexed="55"/>
      <name val="Arial"/>
      <family val="2"/>
    </font>
    <font>
      <b/>
      <sz val="10"/>
      <name val="Symbol"/>
      <family val="1"/>
    </font>
    <font>
      <sz val="10"/>
      <name val="Symbol"/>
      <family val="1"/>
    </font>
    <font>
      <sz val="11.25"/>
      <name val="Arial"/>
      <family val="0"/>
    </font>
    <font>
      <b/>
      <sz val="11.25"/>
      <name val="Arial"/>
      <family val="0"/>
    </font>
    <font>
      <b/>
      <sz val="8.5"/>
      <name val="Arial"/>
      <family val="2"/>
    </font>
    <font>
      <b/>
      <sz val="12"/>
      <name val="Arial"/>
      <family val="2"/>
    </font>
    <font>
      <sz val="10"/>
      <name val="Tahoma"/>
      <family val="2"/>
    </font>
    <font>
      <sz val="8"/>
      <color indexed="55"/>
      <name val="Arial"/>
      <family val="2"/>
    </font>
    <font>
      <i/>
      <sz val="8"/>
      <color indexed="55"/>
      <name val="Arial"/>
      <family val="2"/>
    </font>
    <font>
      <i/>
      <sz val="10"/>
      <color indexed="55"/>
      <name val="Arial"/>
      <family val="2"/>
    </font>
    <font>
      <sz val="10"/>
      <color indexed="8"/>
      <name val="Arial"/>
      <family val="2"/>
    </font>
    <font>
      <i/>
      <sz val="10"/>
      <color indexed="8"/>
      <name val="Arial"/>
      <family val="2"/>
    </font>
    <font>
      <sz val="8.5"/>
      <name val="Arial"/>
      <family val="2"/>
    </font>
    <font>
      <sz val="9.25"/>
      <name val="Arial"/>
      <family val="2"/>
    </font>
    <font>
      <sz val="10"/>
      <color indexed="9"/>
      <name val="Arial"/>
      <family val="2"/>
    </font>
    <font>
      <sz val="9.75"/>
      <name val="Arial"/>
      <family val="2"/>
    </font>
    <font>
      <sz val="9.5"/>
      <name val="Arial"/>
      <family val="2"/>
    </font>
    <font>
      <b/>
      <sz val="9.75"/>
      <name val="Arial"/>
      <family val="2"/>
    </font>
    <font>
      <b/>
      <i/>
      <sz val="9"/>
      <name val="Tahoma"/>
      <family val="2"/>
    </font>
  </fonts>
  <fills count="10">
    <fill>
      <patternFill/>
    </fill>
    <fill>
      <patternFill patternType="gray125"/>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s>
  <borders count="14">
    <border>
      <left/>
      <right/>
      <top/>
      <bottom/>
      <diagonal/>
    </border>
    <border>
      <left style="thin"/>
      <right style="thin"/>
      <top style="thin"/>
      <bottom>
        <color indexed="63"/>
      </bottom>
    </border>
    <border>
      <left style="thin"/>
      <right style="thin"/>
      <top>
        <color indexed="63"/>
      </top>
      <bottom style="thin"/>
    </border>
    <border>
      <left style="dotted"/>
      <right style="dotted"/>
      <top>
        <color indexed="63"/>
      </top>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color indexed="63"/>
      </top>
      <bottom style="dotted"/>
    </border>
    <border>
      <left style="dotted"/>
      <right>
        <color indexed="63"/>
      </right>
      <top>
        <color indexed="63"/>
      </top>
      <bottom style="dotted"/>
    </border>
    <border>
      <left style="dotted"/>
      <right style="dotted"/>
      <top>
        <color indexed="63"/>
      </top>
      <bottom style="dotted"/>
    </border>
    <border>
      <left>
        <color indexed="63"/>
      </left>
      <right style="dotted"/>
      <top>
        <color indexed="63"/>
      </top>
      <bottom style="dotted"/>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tted"/>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3" fontId="0" fillId="0" borderId="0">
      <alignment/>
      <protection locked="0"/>
    </xf>
    <xf numFmtId="0" fontId="0" fillId="0" borderId="0">
      <alignment/>
      <protection/>
    </xf>
    <xf numFmtId="9" fontId="0" fillId="0" borderId="0" applyFont="0" applyFill="0" applyBorder="0" applyAlignment="0" applyProtection="0"/>
  </cellStyleXfs>
  <cellXfs count="337">
    <xf numFmtId="0" fontId="0" fillId="0" borderId="0" xfId="0" applyAlignment="1">
      <alignment/>
    </xf>
    <xf numFmtId="0" fontId="0" fillId="2" borderId="0" xfId="0" applyFill="1" applyAlignment="1">
      <alignment/>
    </xf>
    <xf numFmtId="0" fontId="0" fillId="0" borderId="0" xfId="0" applyAlignment="1">
      <alignment wrapText="1"/>
    </xf>
    <xf numFmtId="0" fontId="13" fillId="0" borderId="0" xfId="20" applyFont="1" applyFill="1" applyBorder="1" applyAlignment="1" applyProtection="1">
      <alignment horizontal="left"/>
      <protection/>
    </xf>
    <xf numFmtId="0" fontId="13" fillId="0" borderId="0" xfId="20" applyNumberFormat="1" applyFont="1" applyFill="1" applyBorder="1" applyAlignment="1" applyProtection="1">
      <alignment horizontal="left"/>
      <protection/>
    </xf>
    <xf numFmtId="0" fontId="13" fillId="0" borderId="0" xfId="20" applyFont="1" applyFill="1" applyBorder="1" applyProtection="1">
      <alignment/>
      <protection/>
    </xf>
    <xf numFmtId="0" fontId="18" fillId="0" borderId="0" xfId="20" applyFont="1" applyFill="1" applyBorder="1" applyProtection="1">
      <alignment/>
      <protection/>
    </xf>
    <xf numFmtId="0" fontId="18" fillId="0" borderId="0" xfId="20" applyFont="1" applyFill="1" applyBorder="1" applyAlignment="1" applyProtection="1">
      <alignment horizontal="left"/>
      <protection/>
    </xf>
    <xf numFmtId="0" fontId="15" fillId="0" borderId="0" xfId="20" applyFont="1" applyFill="1" applyBorder="1" applyAlignment="1" applyProtection="1">
      <alignment horizontal="left"/>
      <protection/>
    </xf>
    <xf numFmtId="0" fontId="15" fillId="0" borderId="0" xfId="20" applyFont="1" applyFill="1" applyBorder="1" applyProtection="1">
      <alignment/>
      <protection/>
    </xf>
    <xf numFmtId="0" fontId="16" fillId="0" borderId="0" xfId="20" applyFont="1" applyFill="1" applyBorder="1" applyProtection="1">
      <alignment/>
      <protection/>
    </xf>
    <xf numFmtId="0" fontId="13" fillId="0" borderId="0" xfId="20" applyFont="1" applyFill="1" applyBorder="1" applyAlignment="1" applyProtection="1">
      <alignment horizontal="left" wrapText="1"/>
      <protection/>
    </xf>
    <xf numFmtId="2" fontId="17" fillId="0" borderId="0" xfId="20" applyNumberFormat="1" applyFont="1" applyFill="1" applyBorder="1" applyAlignment="1" applyProtection="1">
      <alignment/>
      <protection/>
    </xf>
    <xf numFmtId="0" fontId="13" fillId="2" borderId="0" xfId="20" applyNumberFormat="1" applyFont="1" applyFill="1" applyBorder="1" applyAlignment="1" applyProtection="1">
      <alignment horizontal="left"/>
      <protection/>
    </xf>
    <xf numFmtId="0" fontId="1" fillId="2" borderId="0" xfId="0" applyFont="1" applyFill="1" applyAlignment="1">
      <alignment wrapText="1"/>
    </xf>
    <xf numFmtId="0" fontId="0" fillId="2" borderId="0" xfId="0" applyFill="1" applyAlignment="1">
      <alignment wrapText="1"/>
    </xf>
    <xf numFmtId="0" fontId="1" fillId="3" borderId="0" xfId="0" applyFont="1" applyFill="1" applyAlignment="1">
      <alignment wrapText="1"/>
    </xf>
    <xf numFmtId="0" fontId="0" fillId="3" borderId="0" xfId="0" applyFill="1" applyAlignment="1">
      <alignment wrapText="1"/>
    </xf>
    <xf numFmtId="0" fontId="1" fillId="4" borderId="0" xfId="0" applyFont="1" applyFill="1" applyAlignment="1">
      <alignment wrapText="1"/>
    </xf>
    <xf numFmtId="0" fontId="0" fillId="4" borderId="0" xfId="0" applyFill="1" applyAlignment="1">
      <alignment wrapText="1"/>
    </xf>
    <xf numFmtId="0" fontId="0" fillId="4" borderId="0" xfId="0" applyFill="1" applyAlignment="1">
      <alignment/>
    </xf>
    <xf numFmtId="0" fontId="13" fillId="0" borderId="0" xfId="20" applyFont="1" applyFill="1" applyBorder="1" applyProtection="1">
      <alignment/>
      <protection/>
    </xf>
    <xf numFmtId="0" fontId="13" fillId="3" borderId="0" xfId="20" applyNumberFormat="1" applyFont="1" applyFill="1" applyBorder="1" applyAlignment="1" applyProtection="1">
      <alignment horizontal="right"/>
      <protection/>
    </xf>
    <xf numFmtId="0" fontId="15" fillId="0" borderId="0" xfId="20" applyFont="1" applyFill="1" applyBorder="1" applyProtection="1">
      <alignment/>
      <protection/>
    </xf>
    <xf numFmtId="2" fontId="13" fillId="0" borderId="0" xfId="20" applyNumberFormat="1" applyFont="1" applyFill="1" applyBorder="1" applyAlignment="1" applyProtection="1">
      <alignment/>
      <protection/>
    </xf>
    <xf numFmtId="0" fontId="13" fillId="3" borderId="0" xfId="20" applyNumberFormat="1" applyFont="1" applyFill="1" applyBorder="1" applyAlignment="1" applyProtection="1">
      <alignment horizontal="left" wrapText="1"/>
      <protection/>
    </xf>
    <xf numFmtId="0" fontId="13" fillId="3" borderId="0" xfId="20" applyNumberFormat="1" applyFont="1" applyFill="1" applyBorder="1" applyAlignment="1" applyProtection="1">
      <alignment horizontal="left"/>
      <protection/>
    </xf>
    <xf numFmtId="0" fontId="13" fillId="3" borderId="0" xfId="20" applyNumberFormat="1" applyFont="1" applyFill="1" applyBorder="1" applyAlignment="1" applyProtection="1">
      <alignment horizontal="right"/>
      <protection/>
    </xf>
    <xf numFmtId="0" fontId="17" fillId="3" borderId="0" xfId="20" applyNumberFormat="1" applyFont="1" applyFill="1" applyBorder="1" applyAlignment="1" applyProtection="1">
      <alignment/>
      <protection/>
    </xf>
    <xf numFmtId="0" fontId="13" fillId="3" borderId="0" xfId="20" applyNumberFormat="1" applyFont="1" applyFill="1" applyBorder="1" applyAlignment="1" applyProtection="1">
      <alignment/>
      <protection/>
    </xf>
    <xf numFmtId="0" fontId="13" fillId="5" borderId="0" xfId="20" applyNumberFormat="1" applyFont="1" applyFill="1" applyBorder="1" applyAlignment="1" applyProtection="1">
      <alignment horizontal="left" wrapText="1"/>
      <protection/>
    </xf>
    <xf numFmtId="0" fontId="13" fillId="5" borderId="0" xfId="20" applyNumberFormat="1" applyFont="1" applyFill="1" applyBorder="1" applyAlignment="1" applyProtection="1">
      <alignment horizontal="left"/>
      <protection/>
    </xf>
    <xf numFmtId="0" fontId="13" fillId="5" borderId="0" xfId="20" applyNumberFormat="1" applyFont="1" applyFill="1" applyBorder="1" applyAlignment="1" applyProtection="1">
      <alignment horizontal="right"/>
      <protection/>
    </xf>
    <xf numFmtId="0" fontId="13" fillId="5" borderId="0" xfId="20" applyNumberFormat="1" applyFont="1" applyFill="1" applyBorder="1" applyAlignment="1" applyProtection="1">
      <alignment horizontal="right"/>
      <protection/>
    </xf>
    <xf numFmtId="0" fontId="17" fillId="5" borderId="0" xfId="20" applyNumberFormat="1" applyFont="1" applyFill="1" applyBorder="1" applyAlignment="1" applyProtection="1">
      <alignment/>
      <protection/>
    </xf>
    <xf numFmtId="0" fontId="13" fillId="5" borderId="0" xfId="20" applyNumberFormat="1" applyFont="1" applyFill="1" applyBorder="1" applyAlignment="1" applyProtection="1">
      <alignment/>
      <protection/>
    </xf>
    <xf numFmtId="0" fontId="13" fillId="5" borderId="0" xfId="20" applyNumberFormat="1" applyFont="1" applyFill="1" applyBorder="1" applyAlignment="1" applyProtection="1">
      <alignment/>
      <protection/>
    </xf>
    <xf numFmtId="0" fontId="0" fillId="4" borderId="0" xfId="0" applyFill="1" applyAlignment="1" applyProtection="1">
      <alignment/>
      <protection locked="0"/>
    </xf>
    <xf numFmtId="0" fontId="0" fillId="2" borderId="0" xfId="0" applyFill="1" applyAlignment="1" applyProtection="1">
      <alignment/>
      <protection locked="0"/>
    </xf>
    <xf numFmtId="0" fontId="0" fillId="2" borderId="1" xfId="0" applyFill="1" applyBorder="1" applyAlignment="1" applyProtection="1">
      <alignment/>
      <protection locked="0"/>
    </xf>
    <xf numFmtId="0" fontId="0" fillId="2" borderId="2" xfId="0" applyFill="1" applyBorder="1" applyAlignment="1" applyProtection="1">
      <alignment horizontal="center"/>
      <protection locked="0"/>
    </xf>
    <xf numFmtId="0" fontId="4" fillId="4" borderId="0" xfId="0" applyFont="1" applyFill="1" applyAlignment="1">
      <alignment/>
    </xf>
    <xf numFmtId="0" fontId="0" fillId="4" borderId="0" xfId="0" applyFont="1" applyFill="1" applyAlignment="1">
      <alignment/>
    </xf>
    <xf numFmtId="0" fontId="5" fillId="4" borderId="0" xfId="0" applyFont="1" applyFill="1" applyAlignment="1">
      <alignment/>
    </xf>
    <xf numFmtId="0" fontId="0" fillId="4" borderId="0" xfId="0" applyFont="1" applyFill="1" applyAlignment="1">
      <alignment/>
    </xf>
    <xf numFmtId="0" fontId="1" fillId="4" borderId="0" xfId="0" applyFont="1" applyFill="1" applyAlignment="1">
      <alignment/>
    </xf>
    <xf numFmtId="0" fontId="1" fillId="4" borderId="0" xfId="0" applyFont="1" applyFill="1" applyAlignment="1">
      <alignment horizontal="center"/>
    </xf>
    <xf numFmtId="0" fontId="1" fillId="4" borderId="0" xfId="0" applyFont="1" applyFill="1" applyAlignment="1" applyProtection="1">
      <alignment/>
      <protection locked="0"/>
    </xf>
    <xf numFmtId="0" fontId="1" fillId="4" borderId="0" xfId="0" applyFont="1" applyFill="1" applyAlignment="1">
      <alignment horizontal="left"/>
    </xf>
    <xf numFmtId="0" fontId="0" fillId="4" borderId="0" xfId="0" applyFill="1" applyAlignment="1">
      <alignment horizontal="center"/>
    </xf>
    <xf numFmtId="0" fontId="20" fillId="4" borderId="0" xfId="0" applyFont="1" applyFill="1" applyAlignment="1">
      <alignment/>
    </xf>
    <xf numFmtId="0" fontId="0" fillId="4" borderId="0" xfId="0" applyNumberFormat="1" applyFill="1" applyAlignment="1">
      <alignment/>
    </xf>
    <xf numFmtId="0" fontId="0" fillId="4" borderId="0" xfId="0" applyFill="1" applyAlignment="1" applyProtection="1">
      <alignment/>
      <protection hidden="1"/>
    </xf>
    <xf numFmtId="0" fontId="7" fillId="4" borderId="0" xfId="0" applyFont="1" applyFill="1" applyAlignment="1" applyProtection="1">
      <alignment/>
      <protection/>
    </xf>
    <xf numFmtId="0" fontId="0" fillId="4" borderId="0" xfId="0" applyFill="1" applyAlignment="1" applyProtection="1">
      <alignment/>
      <protection/>
    </xf>
    <xf numFmtId="0" fontId="1" fillId="4" borderId="0" xfId="0" applyFont="1" applyFill="1" applyAlignment="1">
      <alignment/>
    </xf>
    <xf numFmtId="0" fontId="0" fillId="4" borderId="0" xfId="0" applyFill="1" applyAlignment="1">
      <alignment/>
    </xf>
    <xf numFmtId="0" fontId="7" fillId="4" borderId="0" xfId="0" applyFont="1" applyFill="1" applyAlignment="1" applyProtection="1">
      <alignment/>
      <protection locked="0"/>
    </xf>
    <xf numFmtId="0" fontId="0" fillId="4" borderId="0" xfId="0" applyFill="1" applyAlignment="1">
      <alignment horizontal="right"/>
    </xf>
    <xf numFmtId="0" fontId="6" fillId="4" borderId="0" xfId="0" applyFont="1" applyFill="1" applyAlignment="1">
      <alignment/>
    </xf>
    <xf numFmtId="0" fontId="6" fillId="4" borderId="0" xfId="0" applyFont="1" applyFill="1" applyAlignment="1" applyProtection="1">
      <alignment/>
      <protection hidden="1"/>
    </xf>
    <xf numFmtId="9" fontId="0" fillId="4" borderId="0" xfId="0" applyNumberFormat="1" applyFill="1" applyAlignment="1">
      <alignment/>
    </xf>
    <xf numFmtId="0" fontId="1" fillId="4" borderId="0" xfId="0" applyFont="1" applyFill="1" applyAlignment="1">
      <alignment horizontal="right"/>
    </xf>
    <xf numFmtId="0" fontId="0" fillId="2" borderId="0" xfId="0" applyFill="1" applyAlignment="1" applyProtection="1">
      <alignment/>
      <protection locked="0"/>
    </xf>
    <xf numFmtId="0" fontId="0" fillId="2" borderId="0" xfId="0" applyNumberFormat="1" applyFill="1" applyAlignment="1" applyProtection="1">
      <alignment/>
      <protection locked="0"/>
    </xf>
    <xf numFmtId="0" fontId="9" fillId="2" borderId="0" xfId="0" applyFont="1" applyFill="1" applyAlignment="1" applyProtection="1">
      <alignment/>
      <protection locked="0"/>
    </xf>
    <xf numFmtId="0" fontId="0" fillId="2" borderId="0" xfId="0" applyFont="1" applyFill="1" applyAlignment="1" applyProtection="1">
      <alignment/>
      <protection locked="0"/>
    </xf>
    <xf numFmtId="0" fontId="0" fillId="6" borderId="0" xfId="0" applyFill="1" applyAlignment="1">
      <alignment/>
    </xf>
    <xf numFmtId="0" fontId="0" fillId="6" borderId="0" xfId="0" applyFill="1" applyAlignment="1">
      <alignment/>
    </xf>
    <xf numFmtId="0" fontId="0" fillId="6" borderId="0" xfId="0" applyNumberFormat="1" applyFill="1" applyAlignment="1">
      <alignment/>
    </xf>
    <xf numFmtId="0" fontId="0" fillId="6" borderId="0" xfId="0" applyFill="1" applyAlignment="1" applyProtection="1">
      <alignment/>
      <protection locked="0"/>
    </xf>
    <xf numFmtId="0" fontId="0" fillId="6" borderId="0" xfId="0" applyFill="1" applyAlignment="1" applyProtection="1">
      <alignment/>
      <protection/>
    </xf>
    <xf numFmtId="1" fontId="0" fillId="6" borderId="0" xfId="0" applyNumberFormat="1" applyFill="1" applyAlignment="1" applyProtection="1">
      <alignment/>
      <protection/>
    </xf>
    <xf numFmtId="0" fontId="0" fillId="6" borderId="0" xfId="0" applyFill="1" applyAlignment="1">
      <alignment horizontal="right"/>
    </xf>
    <xf numFmtId="0" fontId="6" fillId="6" borderId="0" xfId="0" applyFont="1" applyFill="1" applyAlignment="1">
      <alignment/>
    </xf>
    <xf numFmtId="0" fontId="22" fillId="4" borderId="0" xfId="0" applyFont="1" applyFill="1" applyAlignment="1" applyProtection="1">
      <alignment/>
      <protection/>
    </xf>
    <xf numFmtId="0" fontId="0" fillId="4" borderId="0" xfId="0" applyFill="1" applyBorder="1" applyAlignment="1">
      <alignment/>
    </xf>
    <xf numFmtId="0" fontId="7" fillId="4" borderId="0" xfId="0" applyFont="1" applyFill="1" applyAlignment="1" applyProtection="1">
      <alignment/>
      <protection hidden="1"/>
    </xf>
    <xf numFmtId="0" fontId="0" fillId="4" borderId="0" xfId="0" applyFill="1" applyAlignment="1" applyProtection="1">
      <alignment wrapText="1"/>
      <protection hidden="1"/>
    </xf>
    <xf numFmtId="0" fontId="7" fillId="4" borderId="0" xfId="0" applyFont="1" applyFill="1" applyAlignment="1">
      <alignment wrapText="1"/>
    </xf>
    <xf numFmtId="0" fontId="7" fillId="4" borderId="0" xfId="0" applyFont="1" applyFill="1" applyAlignment="1">
      <alignment horizontal="right" wrapText="1"/>
    </xf>
    <xf numFmtId="2" fontId="0" fillId="4" borderId="0" xfId="0" applyNumberFormat="1" applyFill="1" applyAlignment="1">
      <alignment/>
    </xf>
    <xf numFmtId="1" fontId="7" fillId="4" borderId="0" xfId="0" applyNumberFormat="1" applyFont="1" applyFill="1" applyAlignment="1">
      <alignment/>
    </xf>
    <xf numFmtId="2" fontId="7" fillId="4" borderId="0" xfId="0" applyNumberFormat="1" applyFont="1" applyFill="1" applyAlignment="1">
      <alignment/>
    </xf>
    <xf numFmtId="0" fontId="0" fillId="6" borderId="0" xfId="0" applyFont="1" applyFill="1" applyAlignment="1">
      <alignment/>
    </xf>
    <xf numFmtId="0" fontId="2" fillId="6" borderId="0" xfId="0" applyFont="1" applyFill="1" applyAlignment="1">
      <alignment/>
    </xf>
    <xf numFmtId="0" fontId="0" fillId="6" borderId="3" xfId="0" applyFill="1" applyBorder="1" applyAlignment="1">
      <alignment/>
    </xf>
    <xf numFmtId="0" fontId="0" fillId="2" borderId="3" xfId="0" applyFill="1" applyBorder="1" applyAlignment="1" applyProtection="1">
      <alignment/>
      <protection locked="0"/>
    </xf>
    <xf numFmtId="0" fontId="0" fillId="6" borderId="4" xfId="0" applyFill="1" applyBorder="1" applyAlignment="1">
      <alignment/>
    </xf>
    <xf numFmtId="0" fontId="0" fillId="2" borderId="4" xfId="0" applyFill="1" applyBorder="1" applyAlignment="1" applyProtection="1">
      <alignment/>
      <protection locked="0"/>
    </xf>
    <xf numFmtId="0" fontId="0" fillId="6" borderId="5" xfId="0" applyFill="1" applyBorder="1" applyAlignment="1">
      <alignment/>
    </xf>
    <xf numFmtId="0" fontId="0" fillId="2" borderId="5" xfId="0" applyFill="1" applyBorder="1" applyAlignment="1" applyProtection="1">
      <alignment/>
      <protection locked="0"/>
    </xf>
    <xf numFmtId="0" fontId="0" fillId="6" borderId="0" xfId="0" applyNumberFormat="1" applyFont="1" applyFill="1" applyAlignment="1">
      <alignment wrapText="1"/>
    </xf>
    <xf numFmtId="2" fontId="0" fillId="6" borderId="0" xfId="0" applyNumberFormat="1" applyFill="1" applyAlignment="1">
      <alignment/>
    </xf>
    <xf numFmtId="0" fontId="0" fillId="4" borderId="0" xfId="0" applyFont="1" applyFill="1" applyAlignment="1">
      <alignment wrapText="1"/>
    </xf>
    <xf numFmtId="0" fontId="0" fillId="4" borderId="0" xfId="0" applyFont="1" applyFill="1" applyAlignment="1" applyProtection="1">
      <alignment wrapText="1"/>
      <protection hidden="1"/>
    </xf>
    <xf numFmtId="0" fontId="0" fillId="6" borderId="6" xfId="0" applyFont="1" applyFill="1" applyBorder="1" applyAlignment="1">
      <alignment wrapText="1"/>
    </xf>
    <xf numFmtId="0" fontId="0" fillId="6" borderId="7" xfId="0" applyFont="1" applyFill="1" applyBorder="1" applyAlignment="1">
      <alignment wrapText="1"/>
    </xf>
    <xf numFmtId="0" fontId="0" fillId="6" borderId="8" xfId="0" applyFont="1" applyFill="1" applyBorder="1" applyAlignment="1">
      <alignment wrapText="1"/>
    </xf>
    <xf numFmtId="0" fontId="0" fillId="6" borderId="9" xfId="0" applyFont="1" applyFill="1" applyBorder="1" applyAlignment="1">
      <alignment wrapText="1"/>
    </xf>
    <xf numFmtId="0" fontId="11" fillId="4" borderId="0" xfId="0" applyFont="1" applyFill="1" applyAlignment="1">
      <alignment horizontal="left"/>
    </xf>
    <xf numFmtId="184" fontId="0" fillId="4" borderId="0" xfId="0" applyNumberFormat="1" applyFill="1" applyAlignment="1">
      <alignment/>
    </xf>
    <xf numFmtId="0" fontId="12" fillId="4" borderId="0" xfId="0" applyFont="1" applyFill="1" applyAlignment="1">
      <alignment/>
    </xf>
    <xf numFmtId="0" fontId="1" fillId="4" borderId="0" xfId="0" applyFont="1" applyFill="1" applyAlignment="1">
      <alignment horizontal="right"/>
    </xf>
    <xf numFmtId="0" fontId="21" fillId="4" borderId="0" xfId="0" applyFont="1" applyFill="1" applyAlignment="1">
      <alignment/>
    </xf>
    <xf numFmtId="0" fontId="0" fillId="4" borderId="0" xfId="0" applyFill="1" applyAlignment="1">
      <alignment horizontal="left"/>
    </xf>
    <xf numFmtId="9" fontId="0" fillId="4" borderId="0" xfId="0" applyNumberFormat="1" applyFill="1" applyAlignment="1">
      <alignment horizontal="left"/>
    </xf>
    <xf numFmtId="0" fontId="1" fillId="4" borderId="0" xfId="0" applyFont="1" applyFill="1" applyAlignment="1">
      <alignment/>
    </xf>
    <xf numFmtId="0" fontId="1" fillId="6" borderId="0" xfId="0" applyFont="1" applyFill="1" applyAlignment="1">
      <alignment/>
    </xf>
    <xf numFmtId="9" fontId="0" fillId="2" borderId="0" xfId="0" applyNumberFormat="1" applyFill="1" applyAlignment="1" applyProtection="1">
      <alignment/>
      <protection locked="0"/>
    </xf>
    <xf numFmtId="0" fontId="1" fillId="0" borderId="0" xfId="0" applyFont="1" applyAlignment="1">
      <alignment wrapText="1"/>
    </xf>
    <xf numFmtId="0" fontId="20" fillId="4" borderId="0" xfId="0" applyFont="1" applyFill="1" applyAlignment="1">
      <alignment/>
    </xf>
    <xf numFmtId="0" fontId="1" fillId="4" borderId="0" xfId="0" applyFont="1" applyFill="1" applyAlignment="1">
      <alignment horizontal="left" vertical="center"/>
    </xf>
    <xf numFmtId="0" fontId="0" fillId="4" borderId="0" xfId="0" applyFill="1" applyAlignment="1" quotePrefix="1">
      <alignment/>
    </xf>
    <xf numFmtId="0" fontId="15" fillId="0" borderId="0" xfId="20" applyFont="1" applyFill="1" applyBorder="1" applyAlignment="1" applyProtection="1">
      <alignment horizontal="left"/>
      <protection/>
    </xf>
    <xf numFmtId="0" fontId="0" fillId="6" borderId="0" xfId="0" applyNumberFormat="1" applyFont="1" applyFill="1" applyAlignment="1" applyProtection="1">
      <alignment/>
      <protection/>
    </xf>
    <xf numFmtId="186" fontId="0" fillId="4" borderId="0" xfId="0" applyNumberFormat="1" applyFill="1" applyAlignment="1">
      <alignment/>
    </xf>
    <xf numFmtId="0" fontId="0" fillId="7" borderId="0" xfId="0" applyFill="1" applyAlignment="1">
      <alignment/>
    </xf>
    <xf numFmtId="186" fontId="0" fillId="7" borderId="0" xfId="0" applyNumberFormat="1" applyFill="1" applyAlignment="1">
      <alignment/>
    </xf>
    <xf numFmtId="0" fontId="3" fillId="2" borderId="0" xfId="0" applyFont="1" applyFill="1" applyAlignment="1">
      <alignment/>
    </xf>
    <xf numFmtId="0" fontId="3" fillId="3" borderId="0" xfId="0" applyFont="1" applyFill="1" applyAlignment="1">
      <alignment/>
    </xf>
    <xf numFmtId="1" fontId="1" fillId="6" borderId="0" xfId="0" applyNumberFormat="1" applyFont="1" applyFill="1" applyAlignment="1">
      <alignment/>
    </xf>
    <xf numFmtId="0" fontId="0" fillId="8" borderId="0" xfId="0" applyFill="1" applyAlignment="1">
      <alignment/>
    </xf>
    <xf numFmtId="0" fontId="1" fillId="8" borderId="10" xfId="0" applyFont="1" applyFill="1" applyBorder="1" applyAlignment="1">
      <alignment horizontal="right"/>
    </xf>
    <xf numFmtId="0" fontId="1" fillId="7" borderId="10" xfId="0" applyFont="1" applyFill="1" applyBorder="1" applyAlignment="1">
      <alignment horizontal="right"/>
    </xf>
    <xf numFmtId="0" fontId="1" fillId="2" borderId="10" xfId="0" applyFont="1" applyFill="1" applyBorder="1" applyAlignment="1">
      <alignment/>
    </xf>
    <xf numFmtId="0" fontId="1" fillId="3" borderId="10" xfId="0" applyFont="1" applyFill="1" applyBorder="1" applyAlignment="1">
      <alignment/>
    </xf>
    <xf numFmtId="0" fontId="8" fillId="4" borderId="0" xfId="0" applyFont="1" applyFill="1" applyAlignment="1" applyProtection="1">
      <alignment wrapText="1"/>
      <protection/>
    </xf>
    <xf numFmtId="0" fontId="7" fillId="4" borderId="0" xfId="0" applyFont="1" applyFill="1" applyAlignment="1" applyProtection="1">
      <alignment wrapText="1"/>
      <protection/>
    </xf>
    <xf numFmtId="0" fontId="0" fillId="4" borderId="0" xfId="0" applyFill="1" applyAlignment="1" applyProtection="1">
      <alignment wrapText="1"/>
      <protection/>
    </xf>
    <xf numFmtId="0" fontId="7" fillId="4" borderId="0" xfId="0" applyFont="1" applyFill="1" applyAlignment="1" applyProtection="1">
      <alignment wrapText="1"/>
      <protection locked="0"/>
    </xf>
    <xf numFmtId="0" fontId="2" fillId="4" borderId="0" xfId="0" applyFont="1" applyFill="1" applyAlignment="1" applyProtection="1">
      <alignment wrapText="1"/>
      <protection hidden="1"/>
    </xf>
    <xf numFmtId="0" fontId="0" fillId="6" borderId="10" xfId="0" applyFill="1" applyBorder="1" applyAlignment="1">
      <alignment wrapText="1"/>
    </xf>
    <xf numFmtId="0" fontId="8" fillId="4" borderId="0" xfId="0" applyFont="1" applyFill="1" applyAlignment="1" applyProtection="1">
      <alignment wrapText="1"/>
      <protection hidden="1"/>
    </xf>
    <xf numFmtId="0" fontId="7" fillId="4" borderId="0" xfId="0" applyFont="1" applyFill="1" applyAlignment="1" applyProtection="1">
      <alignment wrapText="1"/>
      <protection hidden="1"/>
    </xf>
    <xf numFmtId="0" fontId="0" fillId="6" borderId="11" xfId="0" applyFill="1" applyBorder="1" applyAlignment="1">
      <alignment/>
    </xf>
    <xf numFmtId="0" fontId="0" fillId="6" borderId="11" xfId="0" applyFill="1" applyBorder="1" applyAlignment="1">
      <alignment horizontal="right"/>
    </xf>
    <xf numFmtId="0" fontId="1" fillId="6" borderId="12" xfId="0" applyFont="1" applyFill="1" applyBorder="1" applyAlignment="1">
      <alignment wrapText="1"/>
    </xf>
    <xf numFmtId="0" fontId="0" fillId="0" borderId="10" xfId="0" applyBorder="1" applyAlignment="1">
      <alignment horizontal="left"/>
    </xf>
    <xf numFmtId="0" fontId="0" fillId="0" borderId="10" xfId="0" applyBorder="1" applyAlignment="1">
      <alignment/>
    </xf>
    <xf numFmtId="1" fontId="0" fillId="6" borderId="0" xfId="0" applyNumberFormat="1" applyFont="1" applyFill="1" applyAlignment="1">
      <alignment horizontal="left"/>
    </xf>
    <xf numFmtId="0" fontId="0" fillId="6" borderId="10" xfId="0" applyFill="1" applyBorder="1" applyAlignment="1">
      <alignment horizontal="left" wrapText="1"/>
    </xf>
    <xf numFmtId="2" fontId="0" fillId="6" borderId="0" xfId="0" applyNumberFormat="1" applyFill="1" applyAlignment="1">
      <alignment horizontal="left"/>
    </xf>
    <xf numFmtId="0" fontId="0" fillId="6" borderId="10" xfId="0" applyFont="1" applyFill="1" applyBorder="1" applyAlignment="1">
      <alignment textRotation="44" wrapText="1"/>
    </xf>
    <xf numFmtId="0" fontId="1" fillId="6" borderId="11" xfId="0" applyFont="1" applyFill="1" applyBorder="1" applyAlignment="1">
      <alignment wrapText="1"/>
    </xf>
    <xf numFmtId="0" fontId="0" fillId="6" borderId="0" xfId="0" applyFont="1" applyFill="1" applyBorder="1" applyAlignment="1">
      <alignment textRotation="44" wrapText="1"/>
    </xf>
    <xf numFmtId="0" fontId="0" fillId="6" borderId="0" xfId="0" applyFill="1" applyBorder="1" applyAlignment="1">
      <alignment textRotation="44" wrapText="1"/>
    </xf>
    <xf numFmtId="0" fontId="33" fillId="6" borderId="12" xfId="0" applyFont="1" applyFill="1" applyBorder="1" applyAlignment="1">
      <alignment wrapText="1"/>
    </xf>
    <xf numFmtId="0" fontId="9" fillId="4" borderId="0" xfId="0" applyFont="1" applyFill="1" applyBorder="1" applyAlignment="1">
      <alignment wrapText="1"/>
    </xf>
    <xf numFmtId="0" fontId="34" fillId="4" borderId="0" xfId="0" applyFont="1" applyFill="1" applyBorder="1" applyAlignment="1">
      <alignment wrapText="1"/>
    </xf>
    <xf numFmtId="0" fontId="9" fillId="6" borderId="10" xfId="0" applyFont="1" applyFill="1" applyBorder="1" applyAlignment="1">
      <alignment horizontal="right" wrapText="1"/>
    </xf>
    <xf numFmtId="9" fontId="37" fillId="4" borderId="0" xfId="0" applyNumberFormat="1" applyFont="1" applyFill="1" applyAlignment="1" applyProtection="1">
      <alignment/>
      <protection locked="0"/>
    </xf>
    <xf numFmtId="0" fontId="1" fillId="8" borderId="10" xfId="0" applyFont="1" applyFill="1" applyBorder="1" applyAlignment="1">
      <alignment horizontal="right" wrapText="1"/>
    </xf>
    <xf numFmtId="0" fontId="1" fillId="7" borderId="10" xfId="0" applyFont="1" applyFill="1" applyBorder="1" applyAlignment="1">
      <alignment horizontal="right" wrapText="1"/>
    </xf>
    <xf numFmtId="0" fontId="1" fillId="2" borderId="10" xfId="0" applyFont="1" applyFill="1" applyBorder="1" applyAlignment="1">
      <alignment wrapText="1"/>
    </xf>
    <xf numFmtId="0" fontId="1" fillId="3" borderId="10" xfId="0" applyFont="1" applyFill="1" applyBorder="1" applyAlignment="1">
      <alignment wrapText="1"/>
    </xf>
    <xf numFmtId="186" fontId="0" fillId="2" borderId="0" xfId="0" applyNumberFormat="1" applyFill="1" applyAlignment="1">
      <alignment/>
    </xf>
    <xf numFmtId="186" fontId="1" fillId="6" borderId="0" xfId="0" applyNumberFormat="1" applyFont="1" applyFill="1" applyAlignment="1">
      <alignment/>
    </xf>
    <xf numFmtId="0" fontId="3" fillId="4" borderId="0" xfId="0" applyFont="1" applyFill="1" applyAlignment="1">
      <alignment/>
    </xf>
    <xf numFmtId="0" fontId="1" fillId="4" borderId="0" xfId="0" applyFont="1" applyFill="1" applyBorder="1" applyAlignment="1">
      <alignment wrapText="1"/>
    </xf>
    <xf numFmtId="1" fontId="0" fillId="4" borderId="0" xfId="0" applyNumberFormat="1" applyFill="1" applyAlignment="1">
      <alignment/>
    </xf>
    <xf numFmtId="1" fontId="1" fillId="4" borderId="0" xfId="0" applyNumberFormat="1" applyFont="1" applyFill="1" applyAlignment="1">
      <alignment/>
    </xf>
    <xf numFmtId="0" fontId="2" fillId="6" borderId="0" xfId="0" applyFont="1" applyFill="1" applyAlignment="1">
      <alignment/>
    </xf>
    <xf numFmtId="0" fontId="0" fillId="2" borderId="5" xfId="0" applyNumberFormat="1" applyFill="1" applyBorder="1" applyAlignment="1" applyProtection="1">
      <alignment/>
      <protection locked="0"/>
    </xf>
    <xf numFmtId="0" fontId="1" fillId="6" borderId="12" xfId="0" applyFont="1" applyFill="1" applyBorder="1" applyAlignment="1">
      <alignment/>
    </xf>
    <xf numFmtId="0" fontId="0" fillId="6" borderId="11" xfId="0" applyFill="1" applyBorder="1" applyAlignment="1">
      <alignment/>
    </xf>
    <xf numFmtId="0" fontId="0" fillId="4" borderId="0" xfId="0" applyFill="1" applyBorder="1" applyAlignment="1">
      <alignment/>
    </xf>
    <xf numFmtId="0" fontId="0" fillId="4" borderId="0" xfId="0" applyFill="1" applyBorder="1" applyAlignment="1" applyProtection="1">
      <alignment/>
      <protection hidden="1"/>
    </xf>
    <xf numFmtId="0" fontId="0" fillId="6" borderId="10" xfId="0" applyFill="1" applyBorder="1" applyAlignment="1">
      <alignment/>
    </xf>
    <xf numFmtId="0" fontId="0" fillId="6" borderId="12" xfId="0" applyFill="1" applyBorder="1" applyAlignment="1">
      <alignment/>
    </xf>
    <xf numFmtId="0" fontId="0" fillId="6" borderId="12" xfId="0" applyFill="1" applyBorder="1" applyAlignment="1">
      <alignment wrapText="1"/>
    </xf>
    <xf numFmtId="0" fontId="0" fillId="6" borderId="11" xfId="0" applyFill="1" applyBorder="1" applyAlignment="1" applyProtection="1">
      <alignment/>
      <protection/>
    </xf>
    <xf numFmtId="0" fontId="0" fillId="6" borderId="13" xfId="0" applyFont="1" applyFill="1" applyBorder="1" applyAlignment="1">
      <alignment wrapText="1"/>
    </xf>
    <xf numFmtId="0" fontId="2" fillId="6" borderId="11" xfId="0" applyFont="1" applyFill="1" applyBorder="1" applyAlignment="1">
      <alignment horizontal="right"/>
    </xf>
    <xf numFmtId="0" fontId="0" fillId="6" borderId="11" xfId="0" applyFont="1" applyFill="1" applyBorder="1" applyAlignment="1">
      <alignment horizontal="right"/>
    </xf>
    <xf numFmtId="0" fontId="0" fillId="3" borderId="0" xfId="0" applyFill="1" applyAlignment="1">
      <alignment/>
    </xf>
    <xf numFmtId="0" fontId="0" fillId="3" borderId="0" xfId="0" applyFill="1" applyAlignment="1">
      <alignment/>
    </xf>
    <xf numFmtId="0" fontId="0" fillId="3" borderId="0" xfId="0" applyFill="1" applyAlignment="1" applyProtection="1">
      <alignment/>
      <protection hidden="1"/>
    </xf>
    <xf numFmtId="0" fontId="7" fillId="3" borderId="0" xfId="0" applyFont="1" applyFill="1" applyAlignment="1" applyProtection="1">
      <alignment/>
      <protection/>
    </xf>
    <xf numFmtId="0" fontId="0" fillId="3" borderId="0" xfId="0" applyFill="1" applyAlignment="1" applyProtection="1">
      <alignment/>
      <protection/>
    </xf>
    <xf numFmtId="0" fontId="11" fillId="4" borderId="0" xfId="0" applyFont="1" applyFill="1" applyAlignment="1" applyProtection="1">
      <alignment/>
      <protection locked="0"/>
    </xf>
    <xf numFmtId="0" fontId="11" fillId="5" borderId="0" xfId="0" applyFont="1" applyFill="1" applyAlignment="1" applyProtection="1">
      <alignment/>
      <protection locked="0"/>
    </xf>
    <xf numFmtId="0" fontId="11" fillId="0" borderId="0" xfId="0" applyFont="1" applyAlignment="1" applyProtection="1">
      <alignment/>
      <protection locked="0"/>
    </xf>
    <xf numFmtId="0" fontId="0" fillId="4" borderId="0" xfId="0" applyFill="1" applyAlignment="1" applyProtection="1">
      <alignment horizontal="left"/>
      <protection locked="0"/>
    </xf>
    <xf numFmtId="0" fontId="0" fillId="5" borderId="0" xfId="0" applyFill="1" applyAlignment="1" applyProtection="1">
      <alignment/>
      <protection locked="0"/>
    </xf>
    <xf numFmtId="0" fontId="0" fillId="5" borderId="0" xfId="0" applyFill="1" applyAlignment="1" applyProtection="1">
      <alignment horizontal="left"/>
      <protection locked="0"/>
    </xf>
    <xf numFmtId="0" fontId="0" fillId="0" borderId="0" xfId="0" applyAlignment="1" applyProtection="1">
      <alignment/>
      <protection locked="0"/>
    </xf>
    <xf numFmtId="0" fontId="1" fillId="4" borderId="0" xfId="0" applyFont="1" applyFill="1" applyAlignment="1" applyProtection="1">
      <alignment horizontal="right"/>
      <protection locked="0"/>
    </xf>
    <xf numFmtId="0" fontId="1" fillId="5" borderId="0" xfId="0" applyFont="1" applyFill="1" applyAlignment="1" applyProtection="1">
      <alignment horizontal="right"/>
      <protection locked="0"/>
    </xf>
    <xf numFmtId="0" fontId="0" fillId="2" borderId="0" xfId="0" applyFill="1" applyAlignment="1" applyProtection="1">
      <alignment horizontal="left"/>
      <protection locked="0"/>
    </xf>
    <xf numFmtId="0" fontId="0" fillId="4" borderId="0" xfId="0" applyFill="1" applyAlignment="1" applyProtection="1">
      <alignment wrapText="1"/>
      <protection locked="0"/>
    </xf>
    <xf numFmtId="0" fontId="1" fillId="4" borderId="0" xfId="0" applyFont="1" applyFill="1" applyAlignment="1" applyProtection="1">
      <alignment wrapText="1"/>
      <protection locked="0"/>
    </xf>
    <xf numFmtId="0" fontId="0" fillId="5" borderId="0" xfId="0" applyFill="1" applyAlignment="1" applyProtection="1">
      <alignment wrapText="1"/>
      <protection locked="0"/>
    </xf>
    <xf numFmtId="0" fontId="1" fillId="5" borderId="0" xfId="0" applyFont="1" applyFill="1" applyAlignment="1" applyProtection="1">
      <alignment wrapText="1"/>
      <protection locked="0"/>
    </xf>
    <xf numFmtId="0" fontId="0" fillId="0" borderId="0" xfId="0" applyAlignment="1" applyProtection="1">
      <alignment wrapText="1"/>
      <protection locked="0"/>
    </xf>
    <xf numFmtId="0" fontId="43" fillId="4" borderId="0" xfId="0" applyFont="1" applyFill="1" applyAlignment="1" applyProtection="1">
      <alignment/>
      <protection/>
    </xf>
    <xf numFmtId="0" fontId="1" fillId="4" borderId="0" xfId="0" applyFont="1" applyFill="1" applyAlignment="1" applyProtection="1">
      <alignment/>
      <protection/>
    </xf>
    <xf numFmtId="0" fontId="1" fillId="4" borderId="0" xfId="0" applyFont="1" applyFill="1" applyAlignment="1" applyProtection="1">
      <alignment horizontal="right"/>
      <protection/>
    </xf>
    <xf numFmtId="0" fontId="1" fillId="4" borderId="0" xfId="0" applyFont="1" applyFill="1" applyAlignment="1" applyProtection="1">
      <alignment wrapText="1"/>
      <protection/>
    </xf>
    <xf numFmtId="0" fontId="0" fillId="0" borderId="0" xfId="0" applyAlignment="1" applyProtection="1">
      <alignment/>
      <protection/>
    </xf>
    <xf numFmtId="0" fontId="43" fillId="5" borderId="0" xfId="0" applyFont="1" applyFill="1" applyAlignment="1" applyProtection="1">
      <alignment/>
      <protection/>
    </xf>
    <xf numFmtId="0" fontId="1" fillId="5" borderId="0" xfId="0" applyFont="1" applyFill="1" applyAlignment="1" applyProtection="1">
      <alignment/>
      <protection/>
    </xf>
    <xf numFmtId="0" fontId="1" fillId="5" borderId="0" xfId="0" applyFont="1" applyFill="1" applyAlignment="1" applyProtection="1">
      <alignment horizontal="right"/>
      <protection/>
    </xf>
    <xf numFmtId="0" fontId="1" fillId="5" borderId="0" xfId="0" applyFont="1" applyFill="1" applyAlignment="1" applyProtection="1">
      <alignment wrapText="1"/>
      <protection/>
    </xf>
    <xf numFmtId="0" fontId="0" fillId="5" borderId="0" xfId="0" applyFill="1" applyAlignment="1" applyProtection="1">
      <alignment/>
      <protection/>
    </xf>
    <xf numFmtId="0" fontId="0" fillId="2" borderId="0" xfId="0" applyFill="1" applyAlignment="1" applyProtection="1">
      <alignment horizontal="right"/>
      <protection locked="0"/>
    </xf>
    <xf numFmtId="0" fontId="37" fillId="4" borderId="0" xfId="0" applyFont="1" applyFill="1" applyAlignment="1">
      <alignment/>
    </xf>
    <xf numFmtId="0" fontId="45" fillId="4" borderId="0" xfId="0" applyFont="1" applyFill="1" applyAlignment="1">
      <alignment/>
    </xf>
    <xf numFmtId="0" fontId="46" fillId="4" borderId="0" xfId="0" applyFont="1" applyFill="1" applyAlignment="1">
      <alignment/>
    </xf>
    <xf numFmtId="9" fontId="45" fillId="4" borderId="0" xfId="0" applyNumberFormat="1" applyFont="1" applyFill="1" applyAlignment="1">
      <alignment/>
    </xf>
    <xf numFmtId="9" fontId="37" fillId="4" borderId="0" xfId="0" applyNumberFormat="1" applyFont="1" applyFill="1" applyAlignment="1">
      <alignment/>
    </xf>
    <xf numFmtId="0" fontId="37" fillId="4" borderId="0" xfId="0" applyFont="1" applyFill="1" applyAlignment="1">
      <alignment horizontal="left"/>
    </xf>
    <xf numFmtId="0" fontId="47" fillId="4" borderId="0" xfId="0" applyFont="1" applyFill="1" applyAlignment="1">
      <alignment/>
    </xf>
    <xf numFmtId="0" fontId="0" fillId="2" borderId="0" xfId="20" applyNumberFormat="1" applyFont="1" applyFill="1" applyBorder="1" applyAlignment="1" applyProtection="1">
      <alignment horizontal="left"/>
      <protection/>
    </xf>
    <xf numFmtId="0" fontId="0" fillId="2" borderId="0" xfId="20" applyNumberFormat="1" applyFont="1" applyFill="1" applyBorder="1" applyAlignment="1" applyProtection="1">
      <alignment horizontal="left" wrapText="1"/>
      <protection/>
    </xf>
    <xf numFmtId="0" fontId="0" fillId="2" borderId="0" xfId="20" applyNumberFormat="1" applyFont="1" applyFill="1" applyBorder="1" applyAlignment="1" applyProtection="1">
      <alignment horizontal="right"/>
      <protection/>
    </xf>
    <xf numFmtId="0" fontId="48" fillId="2" borderId="0" xfId="20" applyNumberFormat="1" applyFont="1" applyFill="1" applyBorder="1" applyAlignment="1" applyProtection="1">
      <alignment horizontal="right"/>
      <protection/>
    </xf>
    <xf numFmtId="0" fontId="49" fillId="2" borderId="0" xfId="20" applyNumberFormat="1" applyFont="1" applyFill="1" applyBorder="1" applyAlignment="1" applyProtection="1">
      <alignment horizontal="right"/>
      <protection/>
    </xf>
    <xf numFmtId="11" fontId="0" fillId="2" borderId="0" xfId="20" applyNumberFormat="1" applyFont="1" applyFill="1" applyBorder="1" applyAlignment="1" applyProtection="1">
      <alignment horizontal="right"/>
      <protection/>
    </xf>
    <xf numFmtId="0" fontId="2" fillId="2" borderId="0" xfId="20" applyNumberFormat="1" applyFont="1" applyFill="1" applyBorder="1" applyAlignment="1" applyProtection="1">
      <alignment horizontal="right"/>
      <protection/>
    </xf>
    <xf numFmtId="0" fontId="0" fillId="2" borderId="0" xfId="20" applyNumberFormat="1" applyFont="1" applyFill="1" applyBorder="1" applyAlignment="1" applyProtection="1">
      <alignment/>
      <protection/>
    </xf>
    <xf numFmtId="0" fontId="0" fillId="0" borderId="0" xfId="20" applyNumberFormat="1" applyFont="1" applyFill="1" applyBorder="1" applyAlignment="1" applyProtection="1">
      <alignment horizontal="left"/>
      <protection/>
    </xf>
    <xf numFmtId="0" fontId="0" fillId="5" borderId="10" xfId="0" applyFill="1" applyBorder="1" applyAlignment="1">
      <alignment wrapText="1"/>
    </xf>
    <xf numFmtId="0" fontId="0" fillId="5" borderId="10" xfId="0" applyFont="1" applyFill="1" applyBorder="1" applyAlignment="1">
      <alignment wrapText="1"/>
    </xf>
    <xf numFmtId="0" fontId="0" fillId="5" borderId="0" xfId="0" applyNumberFormat="1" applyFill="1" applyAlignment="1">
      <alignment/>
    </xf>
    <xf numFmtId="0" fontId="0" fillId="5" borderId="0" xfId="0" applyFill="1" applyAlignment="1">
      <alignment/>
    </xf>
    <xf numFmtId="2" fontId="0" fillId="6" borderId="0" xfId="0" applyNumberFormat="1" applyFill="1" applyAlignment="1">
      <alignment horizontal="right"/>
    </xf>
    <xf numFmtId="0" fontId="2" fillId="6" borderId="0" xfId="0" applyFont="1" applyFill="1" applyAlignment="1">
      <alignment horizontal="right"/>
    </xf>
    <xf numFmtId="0" fontId="52" fillId="4" borderId="0" xfId="0" applyFont="1" applyFill="1" applyAlignment="1">
      <alignment/>
    </xf>
    <xf numFmtId="0" fontId="2" fillId="2" borderId="0" xfId="0" applyNumberFormat="1" applyFont="1" applyFill="1" applyAlignment="1" applyProtection="1">
      <alignment/>
      <protection locked="0"/>
    </xf>
    <xf numFmtId="0" fontId="2" fillId="6" borderId="0" xfId="0" applyFont="1" applyFill="1" applyAlignment="1" applyProtection="1">
      <alignment horizontal="right"/>
      <protection/>
    </xf>
    <xf numFmtId="0" fontId="2" fillId="2" borderId="0" xfId="0" applyFont="1" applyFill="1" applyAlignment="1" applyProtection="1">
      <alignment/>
      <protection locked="0"/>
    </xf>
    <xf numFmtId="0" fontId="0" fillId="6" borderId="10" xfId="0" applyFill="1" applyBorder="1" applyAlignment="1" applyProtection="1">
      <alignment wrapText="1"/>
      <protection/>
    </xf>
    <xf numFmtId="0" fontId="6" fillId="6" borderId="0" xfId="0" applyFont="1" applyFill="1" applyAlignment="1" applyProtection="1">
      <alignment/>
      <protection/>
    </xf>
    <xf numFmtId="0" fontId="0" fillId="4" borderId="0" xfId="0" applyNumberFormat="1" applyFill="1" applyAlignment="1" applyProtection="1">
      <alignment/>
      <protection/>
    </xf>
    <xf numFmtId="0" fontId="0" fillId="3" borderId="0" xfId="0" applyNumberFormat="1" applyFill="1" applyAlignment="1" applyProtection="1">
      <alignment/>
      <protection/>
    </xf>
    <xf numFmtId="0" fontId="0" fillId="6" borderId="10" xfId="0" applyNumberFormat="1" applyFill="1" applyBorder="1" applyAlignment="1" applyProtection="1">
      <alignment wrapText="1"/>
      <protection/>
    </xf>
    <xf numFmtId="0" fontId="0" fillId="6" borderId="0" xfId="0" applyNumberFormat="1" applyFill="1" applyAlignment="1" applyProtection="1">
      <alignment/>
      <protection/>
    </xf>
    <xf numFmtId="0" fontId="2" fillId="6" borderId="0" xfId="0" applyNumberFormat="1" applyFont="1" applyFill="1" applyAlignment="1" applyProtection="1">
      <alignment/>
      <protection/>
    </xf>
    <xf numFmtId="0" fontId="0" fillId="6" borderId="3" xfId="0" applyFill="1" applyBorder="1" applyAlignment="1" applyProtection="1">
      <alignment/>
      <protection locked="0"/>
    </xf>
    <xf numFmtId="0" fontId="0" fillId="6" borderId="4" xfId="0" applyFill="1" applyBorder="1" applyAlignment="1" applyProtection="1">
      <alignment/>
      <protection locked="0"/>
    </xf>
    <xf numFmtId="0" fontId="0" fillId="6" borderId="5" xfId="0" applyFill="1" applyBorder="1" applyAlignment="1" applyProtection="1">
      <alignment/>
      <protection locked="0"/>
    </xf>
    <xf numFmtId="0" fontId="7" fillId="4" borderId="0" xfId="0" applyFont="1" applyFill="1" applyAlignment="1" applyProtection="1">
      <alignment/>
      <protection hidden="1" locked="0"/>
    </xf>
    <xf numFmtId="0" fontId="0" fillId="6" borderId="0" xfId="0" applyFill="1" applyAlignment="1" applyProtection="1">
      <alignment horizontal="left"/>
      <protection locked="0"/>
    </xf>
    <xf numFmtId="0" fontId="11" fillId="4" borderId="0" xfId="0" applyFont="1" applyFill="1" applyAlignment="1" applyProtection="1">
      <alignment horizontal="left"/>
      <protection/>
    </xf>
    <xf numFmtId="0" fontId="1" fillId="4" borderId="0" xfId="0" applyFont="1" applyFill="1" applyAlignment="1" applyProtection="1">
      <alignment/>
      <protection/>
    </xf>
    <xf numFmtId="0" fontId="0" fillId="4" borderId="0" xfId="0" applyFill="1" applyAlignment="1" applyProtection="1">
      <alignment/>
      <protection/>
    </xf>
    <xf numFmtId="0" fontId="0" fillId="3" borderId="0" xfId="0" applyFill="1" applyAlignment="1" applyProtection="1">
      <alignment/>
      <protection/>
    </xf>
    <xf numFmtId="0" fontId="0" fillId="4" borderId="0" xfId="0" applyFill="1" applyBorder="1" applyAlignment="1" applyProtection="1">
      <alignment/>
      <protection/>
    </xf>
    <xf numFmtId="0" fontId="0" fillId="4" borderId="0" xfId="0" applyFill="1" applyBorder="1" applyAlignment="1" applyProtection="1">
      <alignment/>
      <protection/>
    </xf>
    <xf numFmtId="0" fontId="0" fillId="6" borderId="12" xfId="0" applyFill="1" applyBorder="1" applyAlignment="1" applyProtection="1">
      <alignment wrapText="1"/>
      <protection/>
    </xf>
    <xf numFmtId="0" fontId="2" fillId="4" borderId="0" xfId="0" applyFont="1" applyFill="1" applyAlignment="1" applyProtection="1">
      <alignment wrapText="1"/>
      <protection/>
    </xf>
    <xf numFmtId="0" fontId="0" fillId="2" borderId="0" xfId="0" applyFill="1" applyAlignment="1" applyProtection="1">
      <alignment/>
      <protection/>
    </xf>
    <xf numFmtId="0" fontId="0" fillId="6" borderId="11" xfId="0" applyFill="1" applyBorder="1" applyAlignment="1" applyProtection="1">
      <alignment horizontal="right"/>
      <protection/>
    </xf>
    <xf numFmtId="0" fontId="0" fillId="6" borderId="0" xfId="0" applyFont="1" applyFill="1" applyAlignment="1" applyProtection="1">
      <alignment/>
      <protection/>
    </xf>
    <xf numFmtId="9" fontId="0" fillId="4" borderId="0" xfId="0" applyNumberFormat="1" applyFill="1" applyAlignment="1" applyProtection="1">
      <alignment/>
      <protection/>
    </xf>
    <xf numFmtId="0" fontId="0" fillId="6" borderId="11" xfId="0" applyFont="1" applyFill="1" applyBorder="1" applyAlignment="1" applyProtection="1">
      <alignment horizontal="right"/>
      <protection/>
    </xf>
    <xf numFmtId="0" fontId="0" fillId="6" borderId="13" xfId="0" applyFont="1" applyFill="1" applyBorder="1" applyAlignment="1" applyProtection="1">
      <alignment wrapText="1"/>
      <protection/>
    </xf>
    <xf numFmtId="0" fontId="0" fillId="6" borderId="6" xfId="0" applyFont="1" applyFill="1" applyBorder="1" applyAlignment="1" applyProtection="1">
      <alignment wrapText="1"/>
      <protection/>
    </xf>
    <xf numFmtId="0" fontId="0" fillId="6" borderId="7" xfId="0" applyFont="1" applyFill="1" applyBorder="1" applyAlignment="1" applyProtection="1">
      <alignment wrapText="1"/>
      <protection/>
    </xf>
    <xf numFmtId="0" fontId="0" fillId="6" borderId="8" xfId="0" applyFont="1" applyFill="1" applyBorder="1" applyAlignment="1" applyProtection="1">
      <alignment wrapText="1"/>
      <protection/>
    </xf>
    <xf numFmtId="0" fontId="0" fillId="6" borderId="9" xfId="0" applyFont="1" applyFill="1" applyBorder="1" applyAlignment="1" applyProtection="1">
      <alignment wrapText="1"/>
      <protection/>
    </xf>
    <xf numFmtId="0" fontId="0" fillId="4" borderId="0" xfId="0" applyFont="1" applyFill="1" applyAlignment="1" applyProtection="1">
      <alignment wrapText="1"/>
      <protection/>
    </xf>
    <xf numFmtId="0" fontId="0" fillId="6" borderId="11" xfId="0" applyFill="1" applyBorder="1" applyAlignment="1" applyProtection="1">
      <alignment/>
      <protection/>
    </xf>
    <xf numFmtId="0" fontId="0" fillId="6" borderId="5" xfId="0" applyFill="1" applyBorder="1" applyAlignment="1" applyProtection="1">
      <alignment/>
      <protection/>
    </xf>
    <xf numFmtId="0" fontId="0" fillId="6" borderId="3" xfId="0" applyFill="1" applyBorder="1" applyAlignment="1" applyProtection="1">
      <alignment/>
      <protection/>
    </xf>
    <xf numFmtId="0" fontId="0" fillId="6" borderId="4" xfId="0" applyFill="1" applyBorder="1" applyAlignment="1" applyProtection="1">
      <alignment/>
      <protection/>
    </xf>
    <xf numFmtId="0" fontId="0" fillId="2" borderId="5" xfId="0" applyFill="1" applyBorder="1" applyAlignment="1" applyProtection="1">
      <alignment/>
      <protection/>
    </xf>
    <xf numFmtId="0" fontId="0" fillId="2" borderId="4" xfId="0" applyFill="1" applyBorder="1" applyAlignment="1" applyProtection="1">
      <alignment/>
      <protection/>
    </xf>
    <xf numFmtId="0" fontId="0" fillId="2" borderId="1" xfId="0" applyFill="1" applyBorder="1" applyAlignment="1" applyProtection="1">
      <alignment/>
      <protection/>
    </xf>
    <xf numFmtId="0" fontId="2" fillId="6" borderId="11" xfId="0" applyFont="1" applyFill="1" applyBorder="1" applyAlignment="1" applyProtection="1">
      <alignment horizontal="right"/>
      <protection/>
    </xf>
    <xf numFmtId="0" fontId="2" fillId="6" borderId="0" xfId="0" applyFont="1" applyFill="1" applyAlignment="1" applyProtection="1">
      <alignment/>
      <protection/>
    </xf>
    <xf numFmtId="0" fontId="0" fillId="2" borderId="2" xfId="0" applyFill="1" applyBorder="1" applyAlignment="1" applyProtection="1">
      <alignment horizontal="center"/>
      <protection/>
    </xf>
    <xf numFmtId="0" fontId="0" fillId="2" borderId="3" xfId="0" applyFill="1" applyBorder="1" applyAlignment="1" applyProtection="1">
      <alignment/>
      <protection/>
    </xf>
    <xf numFmtId="0" fontId="2" fillId="6" borderId="0" xfId="0" applyFont="1" applyFill="1" applyAlignment="1" applyProtection="1">
      <alignment/>
      <protection/>
    </xf>
    <xf numFmtId="0" fontId="0" fillId="2" borderId="5" xfId="0" applyNumberFormat="1" applyFill="1" applyBorder="1" applyAlignment="1" applyProtection="1">
      <alignment/>
      <protection/>
    </xf>
    <xf numFmtId="11" fontId="0" fillId="6" borderId="0" xfId="0" applyNumberFormat="1" applyFill="1" applyAlignment="1" applyProtection="1">
      <alignment/>
      <protection/>
    </xf>
    <xf numFmtId="0" fontId="0" fillId="6" borderId="0" xfId="0" applyFill="1" applyAlignment="1" applyProtection="1">
      <alignment/>
      <protection/>
    </xf>
    <xf numFmtId="0" fontId="0" fillId="6" borderId="0" xfId="0" applyFill="1" applyAlignment="1" applyProtection="1">
      <alignment horizontal="right"/>
      <protection/>
    </xf>
    <xf numFmtId="0" fontId="0" fillId="2" borderId="0" xfId="0" applyFill="1" applyAlignment="1" applyProtection="1">
      <alignment horizontal="right"/>
      <protection/>
    </xf>
    <xf numFmtId="0" fontId="0" fillId="6" borderId="12" xfId="0" applyFill="1" applyBorder="1" applyAlignment="1" applyProtection="1">
      <alignment/>
      <protection/>
    </xf>
    <xf numFmtId="0" fontId="0" fillId="6" borderId="10" xfId="0" applyFill="1" applyBorder="1" applyAlignment="1" applyProtection="1">
      <alignment/>
      <protection/>
    </xf>
    <xf numFmtId="0" fontId="1" fillId="6" borderId="12" xfId="0" applyFont="1" applyFill="1" applyBorder="1" applyAlignment="1" applyProtection="1">
      <alignment/>
      <protection/>
    </xf>
    <xf numFmtId="0" fontId="7" fillId="4" borderId="0" xfId="0" applyFont="1" applyFill="1" applyAlignment="1" applyProtection="1">
      <alignment horizontal="right" wrapText="1"/>
      <protection/>
    </xf>
    <xf numFmtId="0" fontId="0" fillId="6" borderId="0" xfId="0" applyNumberFormat="1" applyFont="1" applyFill="1" applyAlignment="1" applyProtection="1">
      <alignment wrapText="1"/>
      <protection/>
    </xf>
    <xf numFmtId="2" fontId="0" fillId="4" borderId="0" xfId="0" applyNumberFormat="1" applyFill="1" applyAlignment="1" applyProtection="1">
      <alignment/>
      <protection/>
    </xf>
    <xf numFmtId="1" fontId="7" fillId="4" borderId="0" xfId="0" applyNumberFormat="1" applyFont="1" applyFill="1" applyAlignment="1" applyProtection="1">
      <alignment/>
      <protection/>
    </xf>
    <xf numFmtId="2" fontId="7" fillId="4" borderId="0" xfId="0" applyNumberFormat="1" applyFont="1" applyFill="1" applyAlignment="1" applyProtection="1">
      <alignment/>
      <protection/>
    </xf>
    <xf numFmtId="0" fontId="0" fillId="4" borderId="0" xfId="0" applyFill="1" applyAlignment="1" applyProtection="1">
      <alignment horizontal="right"/>
      <protection/>
    </xf>
    <xf numFmtId="0" fontId="10" fillId="0" borderId="0" xfId="0" applyFont="1" applyAlignment="1" applyProtection="1">
      <alignment/>
      <protection/>
    </xf>
    <xf numFmtId="0" fontId="0" fillId="0" borderId="0" xfId="0" applyNumberFormat="1" applyAlignment="1" applyProtection="1">
      <alignment/>
      <protection/>
    </xf>
    <xf numFmtId="0" fontId="0" fillId="0" borderId="0" xfId="0" applyNumberFormat="1" applyFont="1" applyAlignment="1" applyProtection="1">
      <alignment/>
      <protection/>
    </xf>
    <xf numFmtId="0" fontId="13" fillId="0" borderId="0" xfId="0" applyFont="1" applyAlignment="1" applyProtection="1">
      <alignment/>
      <protection/>
    </xf>
    <xf numFmtId="0" fontId="1" fillId="0" borderId="0" xfId="0" applyFont="1" applyAlignment="1" applyProtection="1">
      <alignment horizontal="right"/>
      <protection/>
    </xf>
    <xf numFmtId="0" fontId="5" fillId="0" borderId="0" xfId="0" applyNumberFormat="1" applyFont="1" applyAlignment="1" applyProtection="1">
      <alignment/>
      <protection/>
    </xf>
    <xf numFmtId="0" fontId="0" fillId="0" borderId="0" xfId="0" applyFont="1" applyAlignment="1" applyProtection="1">
      <alignment/>
      <protection/>
    </xf>
    <xf numFmtId="0" fontId="0" fillId="0" borderId="0" xfId="0" applyAlignment="1" applyProtection="1">
      <alignment vertical="top"/>
      <protection/>
    </xf>
    <xf numFmtId="3" fontId="0" fillId="0" borderId="0" xfId="19" applyProtection="1">
      <alignment/>
      <protection/>
    </xf>
    <xf numFmtId="0" fontId="0" fillId="3" borderId="0" xfId="20" applyNumberFormat="1" applyFill="1" applyProtection="1">
      <alignment/>
      <protection/>
    </xf>
    <xf numFmtId="0" fontId="0" fillId="0" borderId="0" xfId="20" applyProtection="1">
      <alignment/>
      <protection/>
    </xf>
    <xf numFmtId="0" fontId="0" fillId="5" borderId="0" xfId="20" applyNumberFormat="1" applyFill="1" applyProtection="1">
      <alignment/>
      <protection/>
    </xf>
    <xf numFmtId="0" fontId="0" fillId="2" borderId="0" xfId="20" applyNumberFormat="1" applyFont="1" applyFill="1" applyProtection="1">
      <alignment/>
      <protection/>
    </xf>
    <xf numFmtId="0" fontId="13" fillId="9" borderId="0" xfId="0" applyFont="1" applyFill="1" applyAlignment="1" applyProtection="1">
      <alignment/>
      <protection/>
    </xf>
    <xf numFmtId="0" fontId="0" fillId="3" borderId="0" xfId="20" applyNumberFormat="1" applyFill="1" applyAlignment="1" applyProtection="1">
      <alignment wrapText="1"/>
      <protection/>
    </xf>
    <xf numFmtId="0" fontId="0" fillId="0" borderId="0" xfId="20" applyAlignment="1" applyProtection="1">
      <alignment wrapText="1"/>
      <protection/>
    </xf>
    <xf numFmtId="0" fontId="0" fillId="5" borderId="0" xfId="20" applyNumberFormat="1" applyFill="1" applyAlignment="1" applyProtection="1">
      <alignment wrapText="1"/>
      <protection/>
    </xf>
    <xf numFmtId="0" fontId="0" fillId="2" borderId="0" xfId="0" applyNumberFormat="1" applyFont="1" applyFill="1" applyAlignment="1" applyProtection="1">
      <alignment wrapText="1"/>
      <protection/>
    </xf>
    <xf numFmtId="0" fontId="0" fillId="0" borderId="0" xfId="0" applyAlignment="1" applyProtection="1">
      <alignment wrapText="1"/>
      <protection/>
    </xf>
    <xf numFmtId="0" fontId="13" fillId="9" borderId="0" xfId="0" applyFont="1" applyFill="1" applyAlignment="1" applyProtection="1">
      <alignment wrapText="1"/>
      <protection/>
    </xf>
    <xf numFmtId="0" fontId="0" fillId="3" borderId="0" xfId="20" applyNumberFormat="1" applyFont="1" applyFill="1" applyProtection="1">
      <alignment/>
      <protection/>
    </xf>
    <xf numFmtId="0" fontId="0" fillId="5" borderId="0" xfId="20" applyNumberFormat="1" applyFont="1" applyFill="1" applyProtection="1">
      <alignment/>
      <protection/>
    </xf>
    <xf numFmtId="0" fontId="13" fillId="0" borderId="0" xfId="0" applyFont="1" applyAlignment="1" applyProtection="1">
      <alignment/>
      <protection/>
    </xf>
    <xf numFmtId="0" fontId="13" fillId="0" borderId="0" xfId="20" applyFont="1" applyProtection="1">
      <alignment/>
      <protection/>
    </xf>
    <xf numFmtId="0" fontId="0" fillId="0" borderId="0" xfId="20" applyAlignment="1" applyProtection="1">
      <alignment horizontal="right"/>
      <protection/>
    </xf>
    <xf numFmtId="0" fontId="0" fillId="2" borderId="0" xfId="20" applyNumberFormat="1" applyFont="1" applyFill="1" applyAlignment="1" applyProtection="1">
      <alignment horizontal="right"/>
      <protection/>
    </xf>
    <xf numFmtId="0" fontId="13" fillId="0" borderId="0" xfId="20" applyFont="1" applyAlignment="1" applyProtection="1">
      <alignment horizontal="right"/>
      <protection/>
    </xf>
    <xf numFmtId="0" fontId="0" fillId="0" borderId="0" xfId="0" applyFont="1" applyAlignment="1" applyProtection="1">
      <alignment/>
      <protection/>
    </xf>
    <xf numFmtId="0" fontId="13" fillId="0" borderId="0" xfId="20" applyFont="1" applyAlignment="1" applyProtection="1">
      <alignment horizontal="right"/>
      <protection/>
    </xf>
    <xf numFmtId="0" fontId="15" fillId="3" borderId="0" xfId="20" applyNumberFormat="1" applyFont="1" applyFill="1" applyProtection="1">
      <alignment/>
      <protection/>
    </xf>
    <xf numFmtId="0" fontId="15" fillId="0" borderId="0" xfId="20" applyFont="1" applyProtection="1">
      <alignment/>
      <protection/>
    </xf>
    <xf numFmtId="0" fontId="15" fillId="5" borderId="0" xfId="20" applyNumberFormat="1" applyFont="1" applyFill="1" applyProtection="1">
      <alignment/>
      <protection/>
    </xf>
    <xf numFmtId="0" fontId="48" fillId="2" borderId="0" xfId="20" applyNumberFormat="1" applyFont="1" applyFill="1" applyAlignment="1" applyProtection="1">
      <alignment horizontal="right"/>
      <protection/>
    </xf>
    <xf numFmtId="0" fontId="15" fillId="3" borderId="0" xfId="20" applyNumberFormat="1" applyFont="1" applyFill="1" applyAlignment="1" applyProtection="1">
      <alignment horizontal="left"/>
      <protection/>
    </xf>
    <xf numFmtId="0" fontId="15" fillId="0" borderId="0" xfId="20" applyFont="1" applyAlignment="1" applyProtection="1">
      <alignment horizontal="right"/>
      <protection/>
    </xf>
    <xf numFmtId="0" fontId="16" fillId="5" borderId="0" xfId="20" applyNumberFormat="1" applyFont="1" applyFill="1" applyAlignment="1" applyProtection="1">
      <alignment horizontal="right"/>
      <protection/>
    </xf>
    <xf numFmtId="0" fontId="15" fillId="3" borderId="0" xfId="20" applyNumberFormat="1" applyFont="1" applyFill="1" applyAlignment="1" applyProtection="1">
      <alignment horizontal="right"/>
      <protection/>
    </xf>
    <xf numFmtId="0" fontId="15" fillId="5" borderId="0" xfId="20" applyNumberFormat="1" applyFont="1" applyFill="1" applyAlignment="1" applyProtection="1">
      <alignment horizontal="right"/>
      <protection/>
    </xf>
    <xf numFmtId="0" fontId="13" fillId="5" borderId="0" xfId="19" applyNumberFormat="1" applyFont="1" applyFill="1" applyProtection="1">
      <alignment/>
      <protection/>
    </xf>
    <xf numFmtId="184" fontId="13" fillId="5" borderId="0" xfId="19" applyNumberFormat="1" applyFont="1" applyFill="1" applyAlignment="1" applyProtection="1">
      <alignment horizontal="right"/>
      <protection/>
    </xf>
    <xf numFmtId="0" fontId="15" fillId="0" borderId="0" xfId="20" applyFont="1" applyAlignment="1" applyProtection="1">
      <alignment horizontal="right"/>
      <protection/>
    </xf>
    <xf numFmtId="0" fontId="0" fillId="0" borderId="0" xfId="20" applyFont="1" applyProtection="1">
      <alignment/>
      <protection/>
    </xf>
    <xf numFmtId="0" fontId="0" fillId="0" borderId="0" xfId="20" applyFont="1" applyAlignment="1" applyProtection="1">
      <alignment horizontal="right"/>
      <protection/>
    </xf>
    <xf numFmtId="0" fontId="0" fillId="0" borderId="0" xfId="0" applyFont="1" applyAlignment="1" applyProtection="1">
      <alignment/>
      <protection/>
    </xf>
    <xf numFmtId="0" fontId="0" fillId="0" borderId="0" xfId="20" applyNumberFormat="1" applyFont="1" applyProtection="1">
      <alignment/>
      <protection/>
    </xf>
    <xf numFmtId="0" fontId="0" fillId="2" borderId="10" xfId="0" applyFill="1" applyBorder="1" applyAlignment="1" applyProtection="1">
      <alignment wrapText="1"/>
      <protection locked="0"/>
    </xf>
    <xf numFmtId="1" fontId="0" fillId="2" borderId="0" xfId="0" applyNumberFormat="1" applyFill="1" applyAlignment="1" applyProtection="1">
      <alignment/>
      <protection locked="0"/>
    </xf>
    <xf numFmtId="0" fontId="0" fillId="4" borderId="0" xfId="0" applyFont="1" applyFill="1" applyAlignment="1">
      <alignment/>
    </xf>
  </cellXfs>
  <cellStyles count="8">
    <cellStyle name="Normal" xfId="0"/>
    <cellStyle name="Comma" xfId="15"/>
    <cellStyle name="Comma [0]" xfId="16"/>
    <cellStyle name="Currency" xfId="17"/>
    <cellStyle name="Currency [0]" xfId="18"/>
    <cellStyle name="Normal_Data_1" xfId="19"/>
    <cellStyle name="Normal_Shee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Grond</a:t>
            </a:r>
          </a:p>
        </c:rich>
      </c:tx>
      <c:layout/>
      <c:spPr>
        <a:noFill/>
        <a:ln>
          <a:noFill/>
        </a:ln>
      </c:spPr>
    </c:title>
    <c:plotArea>
      <c:layout/>
      <c:scatterChart>
        <c:scatterStyle val="lineMarker"/>
        <c:varyColors val="0"/>
        <c:ser>
          <c:idx val="0"/>
          <c:order val="0"/>
          <c:tx>
            <c:strRef>
              <c:f>Klad!$E$7</c:f>
              <c:strCache>
                <c:ptCount val="1"/>
                <c:pt idx="0">
                  <c:v>Vracht [m3]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0000"/>
              </a:solidFill>
              <a:ln>
                <a:solidFill>
                  <a:srgbClr val="FF0000"/>
                </a:solidFill>
              </a:ln>
            </c:spPr>
          </c:marker>
          <c:xVal>
            <c:numRef>
              <c:f>Klad!$B$8:$B$68</c:f>
              <c:numCach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xVal>
          <c:yVal>
            <c:numRef>
              <c:f>Klad!$E$8:$E$68</c:f>
              <c:numCach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yVal>
          <c:smooth val="0"/>
        </c:ser>
        <c:axId val="57113038"/>
        <c:axId val="44255295"/>
      </c:scatterChart>
      <c:valAx>
        <c:axId val="57113038"/>
        <c:scaling>
          <c:orientation val="minMax"/>
          <c:max val="29.9"/>
          <c:min val="0"/>
        </c:scaling>
        <c:axPos val="b"/>
        <c:title>
          <c:tx>
            <c:rich>
              <a:bodyPr vert="horz" rot="0" anchor="ctr"/>
              <a:lstStyle/>
              <a:p>
                <a:pPr algn="ctr">
                  <a:defRPr/>
                </a:pPr>
                <a:r>
                  <a:rPr lang="en-US" cap="none" sz="1000" b="1" i="0" u="none" baseline="0">
                    <a:latin typeface="Arial"/>
                    <a:ea typeface="Arial"/>
                    <a:cs typeface="Arial"/>
                  </a:rPr>
                  <a:t>Tijd [jaar]</a:t>
                </a:r>
              </a:p>
            </c:rich>
          </c:tx>
          <c:layout/>
          <c:overlay val="0"/>
          <c:spPr>
            <a:noFill/>
            <a:ln>
              <a:noFill/>
            </a:ln>
          </c:spPr>
        </c:title>
        <c:delete val="0"/>
        <c:numFmt formatCode="General" sourceLinked="1"/>
        <c:majorTickMark val="out"/>
        <c:minorTickMark val="none"/>
        <c:tickLblPos val="nextTo"/>
        <c:crossAx val="44255295"/>
        <c:crosses val="autoZero"/>
        <c:crossBetween val="midCat"/>
        <c:dispUnits/>
        <c:majorUnit val="5"/>
      </c:valAx>
      <c:valAx>
        <c:axId val="44255295"/>
        <c:scaling>
          <c:orientation val="minMax"/>
          <c:min val="0"/>
        </c:scaling>
        <c:axPos val="l"/>
        <c:title>
          <c:tx>
            <c:rich>
              <a:bodyPr vert="horz" rot="-5400000" anchor="ctr"/>
              <a:lstStyle/>
              <a:p>
                <a:pPr algn="ctr">
                  <a:defRPr/>
                </a:pPr>
                <a:r>
                  <a:rPr lang="en-US" cap="none" sz="1000" b="1" i="0" u="none" baseline="0">
                    <a:latin typeface="Arial"/>
                    <a:ea typeface="Arial"/>
                    <a:cs typeface="Arial"/>
                  </a:rPr>
                  <a:t>Vracht [m3]</a:t>
                </a:r>
              </a:p>
            </c:rich>
          </c:tx>
          <c:layout/>
          <c:overlay val="0"/>
          <c:spPr>
            <a:noFill/>
            <a:ln>
              <a:noFill/>
            </a:ln>
          </c:spPr>
        </c:title>
        <c:majorGridlines/>
        <c:delete val="0"/>
        <c:numFmt formatCode="General" sourceLinked="1"/>
        <c:majorTickMark val="out"/>
        <c:minorTickMark val="none"/>
        <c:tickLblPos val="nextTo"/>
        <c:crossAx val="5711303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3075"/>
          <c:w val="0.64225"/>
          <c:h val="0.9395"/>
        </c:manualLayout>
      </c:layout>
      <c:barChart>
        <c:barDir val="col"/>
        <c:grouping val="stacked"/>
        <c:varyColors val="0"/>
        <c:ser>
          <c:idx val="9"/>
          <c:order val="0"/>
          <c:tx>
            <c:strRef>
              <c:f>'Result A'!$A$47</c:f>
              <c:strCache>
                <c:ptCount val="1"/>
                <c:pt idx="0">
                  <c:v>M9 ruimtebeslag</c:v>
                </c:pt>
              </c:strCache>
            </c:strRef>
          </c:tx>
          <c:spPr>
            <a:solidFill>
              <a:srgbClr val="CC99FF"/>
            </a:solidFill>
          </c:spPr>
          <c:invertIfNegative val="0"/>
          <c:extLst>
            <c:ext xmlns:c14="http://schemas.microsoft.com/office/drawing/2007/8/2/chart" uri="{6F2FDCE9-48DA-4B69-8628-5D25D57E5C99}">
              <c14:invertSolidFillFmt>
                <c14:spPr>
                  <a:solidFill>
                    <a:srgbClr val="424242"/>
                  </a:solidFill>
                </c14:spPr>
              </c14:invertSolidFillFmt>
            </c:ext>
          </c:extLst>
          <c:cat>
            <c:strRef>
              <c:f>'Result A'!$B$38:$K$38</c:f>
              <c:strCache/>
            </c:strRef>
          </c:cat>
          <c:val>
            <c:numRef>
              <c:f>'Result A'!$B$47:$K$47</c:f>
              <c:numCache>
                <c:ptCount val="10"/>
                <c:pt idx="0">
                  <c:v>0</c:v>
                </c:pt>
                <c:pt idx="1">
                  <c:v>0</c:v>
                </c:pt>
                <c:pt idx="2">
                  <c:v>0</c:v>
                </c:pt>
                <c:pt idx="3">
                  <c:v>0</c:v>
                </c:pt>
                <c:pt idx="4">
                  <c:v>0</c:v>
                </c:pt>
                <c:pt idx="5">
                  <c:v>0</c:v>
                </c:pt>
                <c:pt idx="6">
                  <c:v>0</c:v>
                </c:pt>
                <c:pt idx="7">
                  <c:v>0</c:v>
                </c:pt>
                <c:pt idx="8">
                  <c:v>0</c:v>
                </c:pt>
                <c:pt idx="9">
                  <c:v>0</c:v>
                </c:pt>
              </c:numCache>
            </c:numRef>
          </c:val>
        </c:ser>
        <c:ser>
          <c:idx val="8"/>
          <c:order val="1"/>
          <c:tx>
            <c:strRef>
              <c:f>'Result A'!$A$46</c:f>
              <c:strCache>
                <c:ptCount val="1"/>
                <c:pt idx="0">
                  <c:v>M8 afvalvorming</c:v>
                </c:pt>
              </c:strCache>
            </c:strRef>
          </c:tx>
          <c:spPr>
            <a:gradFill rotWithShape="1">
              <a:gsLst>
                <a:gs pos="0">
                  <a:srgbClr val="757546"/>
                </a:gs>
                <a:gs pos="100000">
                  <a:srgbClr val="FFFF99"/>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cat>
            <c:strRef>
              <c:f>'Result A'!$B$38:$K$38</c:f>
              <c:strCache/>
            </c:strRef>
          </c:cat>
          <c:val>
            <c:numRef>
              <c:f>'Result A'!$B$46:$K$46</c:f>
              <c:numCache>
                <c:ptCount val="10"/>
                <c:pt idx="0">
                  <c:v>0</c:v>
                </c:pt>
                <c:pt idx="1">
                  <c:v>0</c:v>
                </c:pt>
                <c:pt idx="2">
                  <c:v>0</c:v>
                </c:pt>
                <c:pt idx="3">
                  <c:v>0</c:v>
                </c:pt>
                <c:pt idx="4">
                  <c:v>0</c:v>
                </c:pt>
                <c:pt idx="5">
                  <c:v>0</c:v>
                </c:pt>
                <c:pt idx="6">
                  <c:v>0</c:v>
                </c:pt>
                <c:pt idx="7">
                  <c:v>0</c:v>
                </c:pt>
                <c:pt idx="8">
                  <c:v>0</c:v>
                </c:pt>
                <c:pt idx="9">
                  <c:v>0</c:v>
                </c:pt>
              </c:numCache>
            </c:numRef>
          </c:val>
        </c:ser>
        <c:ser>
          <c:idx val="7"/>
          <c:order val="2"/>
          <c:tx>
            <c:strRef>
              <c:f>'Result A'!$A$45</c:f>
              <c:strCache>
                <c:ptCount val="1"/>
                <c:pt idx="0">
                  <c:v>M7 opp. wateremissies</c:v>
                </c:pt>
              </c:strCache>
            </c:strRef>
          </c:tx>
          <c:spPr>
            <a:solidFill>
              <a:srgbClr val="A6CAF0"/>
            </a:solidFill>
          </c:spPr>
          <c:invertIfNegative val="0"/>
          <c:extLst>
            <c:ext xmlns:c14="http://schemas.microsoft.com/office/drawing/2007/8/2/chart" uri="{6F2FDCE9-48DA-4B69-8628-5D25D57E5C99}">
              <c14:invertSolidFillFmt>
                <c14:spPr>
                  <a:solidFill>
                    <a:srgbClr val="0000FF"/>
                  </a:solidFill>
                </c14:spPr>
              </c14:invertSolidFillFmt>
            </c:ext>
          </c:extLst>
          <c:cat>
            <c:strRef>
              <c:f>'Result A'!$B$38:$K$38</c:f>
              <c:strCache/>
            </c:strRef>
          </c:cat>
          <c:val>
            <c:numRef>
              <c:f>'Result A'!$B$45:$K$45</c:f>
              <c:numCache>
                <c:ptCount val="10"/>
                <c:pt idx="0">
                  <c:v>0</c:v>
                </c:pt>
                <c:pt idx="1">
                  <c:v>0</c:v>
                </c:pt>
                <c:pt idx="2">
                  <c:v>0</c:v>
                </c:pt>
                <c:pt idx="3">
                  <c:v>0</c:v>
                </c:pt>
                <c:pt idx="4">
                  <c:v>0</c:v>
                </c:pt>
                <c:pt idx="5">
                  <c:v>0</c:v>
                </c:pt>
                <c:pt idx="6">
                  <c:v>0</c:v>
                </c:pt>
                <c:pt idx="7">
                  <c:v>0</c:v>
                </c:pt>
                <c:pt idx="8">
                  <c:v>0</c:v>
                </c:pt>
                <c:pt idx="9">
                  <c:v>0</c:v>
                </c:pt>
              </c:numCache>
            </c:numRef>
          </c:val>
        </c:ser>
        <c:ser>
          <c:idx val="6"/>
          <c:order val="3"/>
          <c:tx>
            <c:strRef>
              <c:f>'Result A'!$A$44</c:f>
              <c:strCache>
                <c:ptCount val="1"/>
                <c:pt idx="0">
                  <c:v>M6 luchtemissies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'Result A'!$B$38:$K$38</c:f>
              <c:strCache/>
            </c:strRef>
          </c:cat>
          <c:val>
            <c:numRef>
              <c:f>'Result A'!$B$44:$K$44</c:f>
              <c:numCache>
                <c:ptCount val="10"/>
                <c:pt idx="0">
                  <c:v>0</c:v>
                </c:pt>
                <c:pt idx="1">
                  <c:v>0</c:v>
                </c:pt>
                <c:pt idx="2">
                  <c:v>0</c:v>
                </c:pt>
                <c:pt idx="3">
                  <c:v>0</c:v>
                </c:pt>
                <c:pt idx="4">
                  <c:v>0</c:v>
                </c:pt>
                <c:pt idx="5">
                  <c:v>0</c:v>
                </c:pt>
                <c:pt idx="6">
                  <c:v>0</c:v>
                </c:pt>
                <c:pt idx="7">
                  <c:v>0</c:v>
                </c:pt>
                <c:pt idx="8">
                  <c:v>0</c:v>
                </c:pt>
                <c:pt idx="9">
                  <c:v>0</c:v>
                </c:pt>
              </c:numCache>
            </c:numRef>
          </c:val>
        </c:ser>
        <c:ser>
          <c:idx val="5"/>
          <c:order val="4"/>
          <c:tx>
            <c:strRef>
              <c:f>'Result A'!$A$43</c:f>
              <c:strCache>
                <c:ptCount val="1"/>
                <c:pt idx="0">
                  <c:v>M5 energiegebruik</c:v>
                </c:pt>
              </c:strCache>
            </c:strRef>
          </c:tx>
          <c:spPr>
            <a:solidFill>
              <a:srgbClr val="FF0000"/>
            </a:solidFill>
          </c:spPr>
          <c:invertIfNegative val="0"/>
          <c:extLst>
            <c:ext xmlns:c14="http://schemas.microsoft.com/office/drawing/2007/8/2/chart" uri="{6F2FDCE9-48DA-4B69-8628-5D25D57E5C99}">
              <c14:invertSolidFillFmt>
                <c14:spPr>
                  <a:solidFill>
                    <a:srgbClr val="FF0000"/>
                  </a:solidFill>
                </c14:spPr>
              </c14:invertSolidFillFmt>
            </c:ext>
          </c:extLst>
          <c:cat>
            <c:strRef>
              <c:f>'Result A'!$B$38:$K$38</c:f>
              <c:strCache/>
            </c:strRef>
          </c:cat>
          <c:val>
            <c:numRef>
              <c:f>'Result A'!$B$43:$K$43</c:f>
              <c:numCache>
                <c:ptCount val="10"/>
                <c:pt idx="0">
                  <c:v>0</c:v>
                </c:pt>
                <c:pt idx="1">
                  <c:v>0</c:v>
                </c:pt>
                <c:pt idx="2">
                  <c:v>0</c:v>
                </c:pt>
                <c:pt idx="3">
                  <c:v>0</c:v>
                </c:pt>
                <c:pt idx="4">
                  <c:v>0</c:v>
                </c:pt>
                <c:pt idx="5">
                  <c:v>0</c:v>
                </c:pt>
                <c:pt idx="6">
                  <c:v>0</c:v>
                </c:pt>
                <c:pt idx="7">
                  <c:v>0</c:v>
                </c:pt>
                <c:pt idx="8">
                  <c:v>0</c:v>
                </c:pt>
                <c:pt idx="9">
                  <c:v>0</c:v>
                </c:pt>
              </c:numCache>
            </c:numRef>
          </c:val>
        </c:ser>
        <c:ser>
          <c:idx val="4"/>
          <c:order val="5"/>
          <c:tx>
            <c:strRef>
              <c:f>'Result A'!$A$42</c:f>
              <c:strCache>
                <c:ptCount val="1"/>
                <c:pt idx="0">
                  <c:v>M4 verlies grondwater</c:v>
                </c:pt>
              </c:strCache>
            </c:strRef>
          </c:tx>
          <c:spPr>
            <a:gradFill rotWithShape="1">
              <a:gsLst>
                <a:gs pos="0">
                  <a:srgbClr val="0000FF"/>
                </a:gs>
                <a:gs pos="100000">
                  <a:srgbClr val="000075"/>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cat>
            <c:strRef>
              <c:f>'Result A'!$B$38:$K$38</c:f>
              <c:strCache/>
            </c:strRef>
          </c:cat>
          <c:val>
            <c:numRef>
              <c:f>'Result A'!$B$42:$K$42</c:f>
              <c:numCache>
                <c:ptCount val="10"/>
                <c:pt idx="0">
                  <c:v>0</c:v>
                </c:pt>
                <c:pt idx="1">
                  <c:v>0</c:v>
                </c:pt>
                <c:pt idx="2">
                  <c:v>0</c:v>
                </c:pt>
                <c:pt idx="3">
                  <c:v>0</c:v>
                </c:pt>
                <c:pt idx="4">
                  <c:v>0</c:v>
                </c:pt>
                <c:pt idx="5">
                  <c:v>0</c:v>
                </c:pt>
                <c:pt idx="6">
                  <c:v>0</c:v>
                </c:pt>
                <c:pt idx="7">
                  <c:v>0</c:v>
                </c:pt>
                <c:pt idx="8">
                  <c:v>0</c:v>
                </c:pt>
                <c:pt idx="9">
                  <c:v>0</c:v>
                </c:pt>
              </c:numCache>
            </c:numRef>
          </c:val>
        </c:ser>
        <c:ser>
          <c:idx val="0"/>
          <c:order val="6"/>
          <c:tx>
            <c:strRef>
              <c:f>'Result A'!$A$41</c:f>
              <c:strCache>
                <c:ptCount val="1"/>
                <c:pt idx="0">
                  <c:v>M3 verlies grond</c:v>
                </c:pt>
              </c:strCache>
            </c:strRef>
          </c:tx>
          <c:spPr>
            <a:solidFill>
              <a:srgbClr val="663300"/>
            </a:solidFill>
          </c:spPr>
          <c:invertIfNegative val="0"/>
          <c:extLst>
            <c:ext xmlns:c14="http://schemas.microsoft.com/office/drawing/2007/8/2/chart" uri="{6F2FDCE9-48DA-4B69-8628-5D25D57E5C99}">
              <c14:invertSolidFillFmt>
                <c14:spPr>
                  <a:solidFill>
                    <a:srgbClr val="FFFFFF"/>
                  </a:solidFill>
                </c14:spPr>
              </c14:invertSolidFillFmt>
            </c:ext>
          </c:extLst>
          <c:cat>
            <c:strRef>
              <c:f>'Result A'!$B$38:$K$38</c:f>
              <c:strCache/>
            </c:strRef>
          </c:cat>
          <c:val>
            <c:numRef>
              <c:f>'Result A'!$B$41:$K$41</c:f>
              <c:numCache>
                <c:ptCount val="10"/>
                <c:pt idx="0">
                  <c:v>0</c:v>
                </c:pt>
                <c:pt idx="1">
                  <c:v>0</c:v>
                </c:pt>
                <c:pt idx="2">
                  <c:v>0</c:v>
                </c:pt>
                <c:pt idx="3">
                  <c:v>0</c:v>
                </c:pt>
                <c:pt idx="4">
                  <c:v>0</c:v>
                </c:pt>
                <c:pt idx="5">
                  <c:v>0</c:v>
                </c:pt>
                <c:pt idx="6">
                  <c:v>0</c:v>
                </c:pt>
                <c:pt idx="7">
                  <c:v>0</c:v>
                </c:pt>
                <c:pt idx="8">
                  <c:v>0</c:v>
                </c:pt>
                <c:pt idx="9">
                  <c:v>0</c:v>
                </c:pt>
              </c:numCache>
            </c:numRef>
          </c:val>
        </c:ser>
        <c:ser>
          <c:idx val="2"/>
          <c:order val="7"/>
          <c:tx>
            <c:strRef>
              <c:f>'Result A'!$A$40</c:f>
              <c:strCache>
                <c:ptCount val="1"/>
                <c:pt idx="0">
                  <c:v>M2 grondwaterkwaliteit</c:v>
                </c:pt>
              </c:strCache>
            </c:strRef>
          </c:tx>
          <c:spPr>
            <a:solidFill>
              <a:srgbClr val="0000FF"/>
            </a:solidFill>
          </c:spPr>
          <c:invertIfNegative val="0"/>
          <c:extLst>
            <c:ext xmlns:c14="http://schemas.microsoft.com/office/drawing/2007/8/2/chart" uri="{6F2FDCE9-48DA-4B69-8628-5D25D57E5C99}">
              <c14:invertSolidFillFmt>
                <c14:spPr>
                  <a:solidFill>
                    <a:srgbClr val="FF0000"/>
                  </a:solidFill>
                </c14:spPr>
              </c14:invertSolidFillFmt>
            </c:ext>
          </c:extLst>
          <c:cat>
            <c:strRef>
              <c:f>'Result A'!$B$38:$K$38</c:f>
              <c:strCache/>
            </c:strRef>
          </c:cat>
          <c:val>
            <c:numRef>
              <c:f>'Result A'!$B$40:$K$40</c:f>
              <c:numCache>
                <c:ptCount val="10"/>
                <c:pt idx="0">
                  <c:v>0</c:v>
                </c:pt>
                <c:pt idx="1">
                  <c:v>0</c:v>
                </c:pt>
                <c:pt idx="2">
                  <c:v>0</c:v>
                </c:pt>
                <c:pt idx="3">
                  <c:v>0</c:v>
                </c:pt>
                <c:pt idx="4">
                  <c:v>0</c:v>
                </c:pt>
                <c:pt idx="5">
                  <c:v>0</c:v>
                </c:pt>
                <c:pt idx="6">
                  <c:v>0</c:v>
                </c:pt>
                <c:pt idx="7">
                  <c:v>0</c:v>
                </c:pt>
                <c:pt idx="8">
                  <c:v>0</c:v>
                </c:pt>
                <c:pt idx="9">
                  <c:v>0</c:v>
                </c:pt>
              </c:numCache>
            </c:numRef>
          </c:val>
        </c:ser>
        <c:ser>
          <c:idx val="1"/>
          <c:order val="8"/>
          <c:tx>
            <c:strRef>
              <c:f>'Result A'!$A$39</c:f>
              <c:strCache>
                <c:ptCount val="1"/>
                <c:pt idx="0">
                  <c:v>M1 grondkwaliteit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'Result A'!$B$38:$K$38</c:f>
              <c:strCache/>
            </c:strRef>
          </c:cat>
          <c:val>
            <c:numRef>
              <c:f>'Result A'!$B$39:$K$39</c:f>
              <c:numCache>
                <c:ptCount val="10"/>
                <c:pt idx="0">
                  <c:v>0</c:v>
                </c:pt>
                <c:pt idx="1">
                  <c:v>0</c:v>
                </c:pt>
                <c:pt idx="2">
                  <c:v>0</c:v>
                </c:pt>
                <c:pt idx="3">
                  <c:v>0</c:v>
                </c:pt>
                <c:pt idx="4">
                  <c:v>0</c:v>
                </c:pt>
                <c:pt idx="5">
                  <c:v>0</c:v>
                </c:pt>
                <c:pt idx="6">
                  <c:v>0</c:v>
                </c:pt>
                <c:pt idx="7">
                  <c:v>0</c:v>
                </c:pt>
                <c:pt idx="8">
                  <c:v>0</c:v>
                </c:pt>
                <c:pt idx="9">
                  <c:v>0</c:v>
                </c:pt>
              </c:numCache>
            </c:numRef>
          </c:val>
        </c:ser>
        <c:overlap val="100"/>
        <c:gapWidth val="40"/>
        <c:axId val="43879996"/>
        <c:axId val="59375645"/>
      </c:barChart>
      <c:catAx>
        <c:axId val="43879996"/>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9375645"/>
        <c:crosses val="autoZero"/>
        <c:auto val="1"/>
        <c:lblOffset val="100"/>
        <c:noMultiLvlLbl val="0"/>
      </c:catAx>
      <c:valAx>
        <c:axId val="59375645"/>
        <c:scaling>
          <c:orientation val="minMax"/>
        </c:scaling>
        <c:axPos val="l"/>
        <c:title>
          <c:tx>
            <c:rich>
              <a:bodyPr vert="horz" rot="-5400000" anchor="ctr"/>
              <a:lstStyle/>
              <a:p>
                <a:pPr algn="ctr">
                  <a:defRPr/>
                </a:pPr>
                <a:r>
                  <a:rPr lang="en-US" cap="none" sz="1000" b="1" i="0" u="none" baseline="0">
                    <a:latin typeface="Arial"/>
                    <a:ea typeface="Arial"/>
                    <a:cs typeface="Arial"/>
                  </a:rPr>
                  <a:t>Bijdrage aan Milieuverdienste</a:t>
                </a:r>
              </a:p>
            </c:rich>
          </c:tx>
          <c:layout>
            <c:manualLayout>
              <c:xMode val="factor"/>
              <c:yMode val="factor"/>
              <c:x val="-0.001"/>
              <c:y val="-0.007"/>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879996"/>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Onzekerheid in aspecten (driehoeksverdeling;  ± </a:t>
            </a:r>
            <a:r>
              <a:rPr lang="en-US" cap="none" sz="1000" b="1" i="0" u="none" baseline="0"/>
              <a:t>s</a:t>
            </a:r>
            <a:r>
              <a:rPr lang="en-US" cap="none" sz="1000" b="1" i="0" u="none" baseline="0">
                <a:latin typeface="Arial"/>
                <a:ea typeface="Arial"/>
                <a:cs typeface="Arial"/>
              </a:rPr>
              <a:t>)</a:t>
            </a:r>
          </a:p>
        </c:rich>
      </c:tx>
      <c:layout/>
      <c:spPr>
        <a:noFill/>
        <a:ln>
          <a:noFill/>
        </a:ln>
      </c:spPr>
    </c:title>
    <c:plotArea>
      <c:layout>
        <c:manualLayout>
          <c:xMode val="edge"/>
          <c:yMode val="edge"/>
          <c:x val="0.05975"/>
          <c:y val="0.10175"/>
          <c:w val="0.93325"/>
          <c:h val="0.88975"/>
        </c:manualLayout>
      </c:layout>
      <c:barChart>
        <c:barDir val="col"/>
        <c:grouping val="clustered"/>
        <c:varyColors val="0"/>
        <c:ser>
          <c:idx val="0"/>
          <c:order val="0"/>
          <c:spPr>
            <a:solidFill>
              <a:srgbClr val="C0C0FF"/>
            </a:solidFill>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Stat!$B$22:$I$22</c:f>
                <c:numCache>
                  <c:ptCount val="8"/>
                  <c:pt idx="0">
                    <c:v>0</c:v>
                  </c:pt>
                  <c:pt idx="1">
                    <c:v>0</c:v>
                  </c:pt>
                  <c:pt idx="2">
                    <c:v>0</c:v>
                  </c:pt>
                  <c:pt idx="3">
                    <c:v>0</c:v>
                  </c:pt>
                  <c:pt idx="4">
                    <c:v>0</c:v>
                  </c:pt>
                  <c:pt idx="5">
                    <c:v>0</c:v>
                  </c:pt>
                  <c:pt idx="6">
                    <c:v>0</c:v>
                  </c:pt>
                  <c:pt idx="7">
                    <c:v>0</c:v>
                  </c:pt>
                </c:numCache>
              </c:numRef>
            </c:plus>
            <c:minus>
              <c:numRef>
                <c:f>Stat!$B$22:$I$22</c:f>
                <c:numCache>
                  <c:ptCount val="8"/>
                  <c:pt idx="0">
                    <c:v>0</c:v>
                  </c:pt>
                  <c:pt idx="1">
                    <c:v>0</c:v>
                  </c:pt>
                  <c:pt idx="2">
                    <c:v>0</c:v>
                  </c:pt>
                  <c:pt idx="3">
                    <c:v>0</c:v>
                  </c:pt>
                  <c:pt idx="4">
                    <c:v>0</c:v>
                  </c:pt>
                  <c:pt idx="5">
                    <c:v>0</c:v>
                  </c:pt>
                  <c:pt idx="6">
                    <c:v>0</c:v>
                  </c:pt>
                  <c:pt idx="7">
                    <c:v>0</c:v>
                  </c:pt>
                </c:numCache>
              </c:numRef>
            </c:minus>
            <c:noEndCap val="0"/>
          </c:errBars>
          <c:cat>
            <c:strRef>
              <c:f>Stat!$B$11:$I$11</c:f>
              <c:strCache/>
            </c:strRef>
          </c:cat>
          <c:val>
            <c:numRef>
              <c:f>Stat!$B$21:$I$21</c:f>
              <c:numCache>
                <c:ptCount val="8"/>
                <c:pt idx="0">
                  <c:v>0</c:v>
                </c:pt>
                <c:pt idx="1">
                  <c:v>0</c:v>
                </c:pt>
                <c:pt idx="2">
                  <c:v>0</c:v>
                </c:pt>
                <c:pt idx="3">
                  <c:v>0</c:v>
                </c:pt>
                <c:pt idx="4">
                  <c:v>0</c:v>
                </c:pt>
                <c:pt idx="5">
                  <c:v>0</c:v>
                </c:pt>
                <c:pt idx="6">
                  <c:v>0</c:v>
                </c:pt>
                <c:pt idx="7">
                  <c:v>0</c:v>
                </c:pt>
              </c:numCache>
            </c:numRef>
          </c:val>
        </c:ser>
        <c:axId val="64618758"/>
        <c:axId val="44697911"/>
      </c:barChart>
      <c:catAx>
        <c:axId val="64618758"/>
        <c:scaling>
          <c:orientation val="minMax"/>
        </c:scaling>
        <c:axPos val="b"/>
        <c:delete val="0"/>
        <c:numFmt formatCode="General" sourceLinked="1"/>
        <c:majorTickMark val="cross"/>
        <c:minorTickMark val="none"/>
        <c:tickLblPos val="nextTo"/>
        <c:txPr>
          <a:bodyPr vert="horz" rot="-2700000"/>
          <a:lstStyle/>
          <a:p>
            <a:pPr>
              <a:defRPr lang="en-US" cap="none" sz="1000" b="0" i="0" u="none" baseline="0">
                <a:latin typeface="Arial"/>
                <a:ea typeface="Arial"/>
                <a:cs typeface="Arial"/>
              </a:defRPr>
            </a:pPr>
          </a:p>
        </c:txPr>
        <c:crossAx val="44697911"/>
        <c:crosses val="autoZero"/>
        <c:auto val="0"/>
        <c:lblOffset val="100"/>
        <c:noMultiLvlLbl val="0"/>
      </c:catAx>
      <c:valAx>
        <c:axId val="44697911"/>
        <c:scaling>
          <c:orientation val="minMax"/>
        </c:scaling>
        <c:axPos val="l"/>
        <c:title>
          <c:tx>
            <c:rich>
              <a:bodyPr vert="horz" rot="-5400000" anchor="ctr"/>
              <a:lstStyle/>
              <a:p>
                <a:pPr algn="ctr">
                  <a:defRPr/>
                </a:pPr>
                <a:r>
                  <a:rPr lang="en-US" cap="none" sz="1000" b="1" i="0" u="none" baseline="0">
                    <a:latin typeface="Arial"/>
                    <a:ea typeface="Arial"/>
                    <a:cs typeface="Arial"/>
                  </a:rPr>
                  <a:t>Milieuverdienste-index</a:t>
                </a:r>
              </a:p>
            </c:rich>
          </c:tx>
          <c:layout>
            <c:manualLayout>
              <c:xMode val="factor"/>
              <c:yMode val="factor"/>
              <c:x val="-0.00525"/>
              <c:y val="0.001"/>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61875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2"/>
          <c:order val="0"/>
          <c:tx>
            <c:strRef>
              <c:f>'Hulp RMK'!$Q$45</c:f>
              <c:strCache>
                <c:ptCount val="1"/>
                <c:pt idx="0">
                  <c:v>Huidige situatie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FF0000"/>
              </a:solidFill>
              <a:ln>
                <a:solidFill>
                  <a:srgbClr val="FF0000"/>
                </a:solidFill>
              </a:ln>
            </c:spPr>
          </c:marker>
          <c:xVal>
            <c:numRef>
              <c:f>'Hulp RMK'!$V$54:$V$61</c:f>
              <c:numCache>
                <c:ptCount val="8"/>
                <c:pt idx="0">
                  <c:v>0</c:v>
                </c:pt>
                <c:pt idx="1">
                  <c:v>0</c:v>
                </c:pt>
                <c:pt idx="2">
                  <c:v>0</c:v>
                </c:pt>
                <c:pt idx="3">
                  <c:v>0</c:v>
                </c:pt>
                <c:pt idx="4">
                  <c:v>0</c:v>
                </c:pt>
                <c:pt idx="5">
                  <c:v>0</c:v>
                </c:pt>
                <c:pt idx="6">
                  <c:v>0</c:v>
                </c:pt>
                <c:pt idx="7">
                  <c:v>0</c:v>
                </c:pt>
              </c:numCache>
            </c:numRef>
          </c:xVal>
          <c:yVal>
            <c:numRef>
              <c:f>'Hulp RMK'!$Z$54:$Z$61</c:f>
              <c:numCache>
                <c:ptCount val="8"/>
                <c:pt idx="0">
                  <c:v>0</c:v>
                </c:pt>
                <c:pt idx="1">
                  <c:v>0</c:v>
                </c:pt>
                <c:pt idx="2">
                  <c:v>0</c:v>
                </c:pt>
                <c:pt idx="3">
                  <c:v>0</c:v>
                </c:pt>
                <c:pt idx="4">
                  <c:v>0</c:v>
                </c:pt>
                <c:pt idx="5">
                  <c:v>0</c:v>
                </c:pt>
                <c:pt idx="6">
                  <c:v>0</c:v>
                </c:pt>
                <c:pt idx="7">
                  <c:v>0</c:v>
                </c:pt>
              </c:numCache>
            </c:numRef>
          </c:yVal>
          <c:smooth val="0"/>
        </c:ser>
        <c:ser>
          <c:idx val="0"/>
          <c:order val="1"/>
          <c:tx>
            <c:strRef>
              <c:f>'Hulp RMK'!$R$45</c:f>
              <c:strCache>
                <c:ptCount val="1"/>
                <c:pt idx="0">
                  <c:v>Variant</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3366FF"/>
              </a:solidFill>
              <a:ln>
                <a:solidFill>
                  <a:srgbClr val="3366FF"/>
                </a:solidFill>
              </a:ln>
            </c:spPr>
          </c:marker>
          <c:xVal>
            <c:numRef>
              <c:f>'Hulp RMK'!$V$54:$V$61</c:f>
              <c:numCache>
                <c:ptCount val="8"/>
                <c:pt idx="0">
                  <c:v>0</c:v>
                </c:pt>
                <c:pt idx="1">
                  <c:v>0</c:v>
                </c:pt>
                <c:pt idx="2">
                  <c:v>0</c:v>
                </c:pt>
                <c:pt idx="3">
                  <c:v>0</c:v>
                </c:pt>
                <c:pt idx="4">
                  <c:v>0</c:v>
                </c:pt>
                <c:pt idx="5">
                  <c:v>0</c:v>
                </c:pt>
                <c:pt idx="6">
                  <c:v>0</c:v>
                </c:pt>
                <c:pt idx="7">
                  <c:v>0</c:v>
                </c:pt>
              </c:numCache>
            </c:numRef>
          </c:xVal>
          <c:yVal>
            <c:numRef>
              <c:f>'Hulp RMK'!$AA$54:$AA$61</c:f>
              <c:numCache>
                <c:ptCount val="8"/>
                <c:pt idx="0">
                  <c:v>0</c:v>
                </c:pt>
                <c:pt idx="1">
                  <c:v>0</c:v>
                </c:pt>
                <c:pt idx="2">
                  <c:v>0</c:v>
                </c:pt>
                <c:pt idx="3">
                  <c:v>0</c:v>
                </c:pt>
                <c:pt idx="4">
                  <c:v>0</c:v>
                </c:pt>
                <c:pt idx="5">
                  <c:v>0</c:v>
                </c:pt>
                <c:pt idx="6">
                  <c:v>0</c:v>
                </c:pt>
                <c:pt idx="7">
                  <c:v>0</c:v>
                </c:pt>
              </c:numCache>
            </c:numRef>
          </c:yVal>
          <c:smooth val="0"/>
        </c:ser>
        <c:axId val="66736880"/>
        <c:axId val="63761009"/>
      </c:scatterChart>
      <c:valAx>
        <c:axId val="66736880"/>
        <c:scaling>
          <c:orientation val="minMax"/>
          <c:max val="30"/>
        </c:scaling>
        <c:axPos val="b"/>
        <c:title>
          <c:tx>
            <c:rich>
              <a:bodyPr vert="horz" rot="0" anchor="ctr"/>
              <a:lstStyle/>
              <a:p>
                <a:pPr algn="ctr">
                  <a:defRPr/>
                </a:pPr>
                <a:r>
                  <a:rPr lang="en-US" cap="none" sz="1175" b="1" i="0" u="none" baseline="0">
                    <a:latin typeface="Arial"/>
                    <a:ea typeface="Arial"/>
                    <a:cs typeface="Arial"/>
                  </a:rPr>
                  <a:t>Tijd (jaar)</a:t>
                </a:r>
              </a:p>
            </c:rich>
          </c:tx>
          <c:layout/>
          <c:overlay val="0"/>
          <c:spPr>
            <a:noFill/>
            <a:ln>
              <a:noFill/>
            </a:ln>
          </c:spPr>
        </c:title>
        <c:delete val="0"/>
        <c:numFmt formatCode="General" sourceLinked="1"/>
        <c:majorTickMark val="out"/>
        <c:minorTickMark val="none"/>
        <c:tickLblPos val="nextTo"/>
        <c:crossAx val="63761009"/>
        <c:crosses val="autoZero"/>
        <c:crossBetween val="midCat"/>
        <c:dispUnits/>
      </c:valAx>
      <c:valAx>
        <c:axId val="63761009"/>
        <c:scaling>
          <c:orientation val="minMax"/>
        </c:scaling>
        <c:axPos val="l"/>
        <c:title>
          <c:tx>
            <c:rich>
              <a:bodyPr vert="horz" rot="-5400000" anchor="ctr"/>
              <a:lstStyle/>
              <a:p>
                <a:pPr algn="ctr">
                  <a:defRPr/>
                </a:pPr>
                <a:r>
                  <a:rPr lang="en-US" cap="none" sz="1175" b="1" i="0" u="none" baseline="0">
                    <a:latin typeface="Arial"/>
                    <a:ea typeface="Arial"/>
                    <a:cs typeface="Arial"/>
                  </a:rPr>
                  <a:t>Vracht</a:t>
                </a:r>
              </a:p>
            </c:rich>
          </c:tx>
          <c:layout/>
          <c:overlay val="0"/>
          <c:spPr>
            <a:noFill/>
            <a:ln>
              <a:noFill/>
            </a:ln>
          </c:spPr>
        </c:title>
        <c:majorGridlines/>
        <c:delete val="0"/>
        <c:numFmt formatCode="General" sourceLinked="1"/>
        <c:majorTickMark val="out"/>
        <c:minorTickMark val="none"/>
        <c:tickLblPos val="nextTo"/>
        <c:crossAx val="66736880"/>
        <c:crosses val="autoZero"/>
        <c:crossBetween val="midCat"/>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2"/>
          <c:order val="0"/>
          <c:tx>
            <c:strRef>
              <c:f>'Hulp RMK'!$Q$45</c:f>
              <c:strCache>
                <c:ptCount val="1"/>
                <c:pt idx="0">
                  <c:v>Huidige situatie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FF0000"/>
              </a:solidFill>
              <a:ln>
                <a:solidFill>
                  <a:srgbClr val="FF0000"/>
                </a:solidFill>
              </a:ln>
            </c:spPr>
          </c:marker>
          <c:xVal>
            <c:numRef>
              <c:f>'Hulp RMK'!$M$46:$M$75</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xVal>
          <c:yVal>
            <c:numRef>
              <c:f>'Hulp RMK'!$Q$46:$Q$75</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ser>
          <c:idx val="0"/>
          <c:order val="1"/>
          <c:tx>
            <c:strRef>
              <c:f>'Hulp RMK'!$R$45</c:f>
              <c:strCache>
                <c:ptCount val="1"/>
                <c:pt idx="0">
                  <c:v>Variant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3366FF"/>
              </a:solidFill>
              <a:ln>
                <a:solidFill>
                  <a:srgbClr val="3366FF"/>
                </a:solidFill>
              </a:ln>
            </c:spPr>
          </c:marker>
          <c:xVal>
            <c:numRef>
              <c:f>'Hulp RMK'!$M$46:$M$75</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xVal>
          <c:yVal>
            <c:numRef>
              <c:f>'Hulp RMK'!$R$46:$R$75</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axId val="36978170"/>
        <c:axId val="64368075"/>
      </c:scatterChart>
      <c:valAx>
        <c:axId val="36978170"/>
        <c:scaling>
          <c:orientation val="minMax"/>
          <c:max val="30"/>
        </c:scaling>
        <c:axPos val="b"/>
        <c:title>
          <c:tx>
            <c:rich>
              <a:bodyPr vert="horz" rot="0" anchor="ctr"/>
              <a:lstStyle/>
              <a:p>
                <a:pPr algn="ctr">
                  <a:defRPr/>
                </a:pPr>
                <a:r>
                  <a:rPr lang="en-US" cap="none" sz="1125" b="1" i="0" u="none" baseline="0">
                    <a:latin typeface="Arial"/>
                    <a:ea typeface="Arial"/>
                    <a:cs typeface="Arial"/>
                  </a:rPr>
                  <a:t>Tijd (jaar)</a:t>
                </a:r>
              </a:p>
            </c:rich>
          </c:tx>
          <c:layout/>
          <c:overlay val="0"/>
          <c:spPr>
            <a:noFill/>
            <a:ln>
              <a:noFill/>
            </a:ln>
          </c:spPr>
        </c:title>
        <c:delete val="0"/>
        <c:numFmt formatCode="General" sourceLinked="1"/>
        <c:majorTickMark val="out"/>
        <c:minorTickMark val="none"/>
        <c:tickLblPos val="nextTo"/>
        <c:crossAx val="64368075"/>
        <c:crosses val="autoZero"/>
        <c:crossBetween val="midCat"/>
        <c:dispUnits/>
      </c:valAx>
      <c:valAx>
        <c:axId val="64368075"/>
        <c:scaling>
          <c:orientation val="minMax"/>
        </c:scaling>
        <c:axPos val="l"/>
        <c:title>
          <c:tx>
            <c:rich>
              <a:bodyPr vert="horz" rot="-5400000" anchor="ctr"/>
              <a:lstStyle/>
              <a:p>
                <a:pPr algn="ctr">
                  <a:defRPr/>
                </a:pPr>
                <a:r>
                  <a:rPr lang="en-US" cap="none" sz="1125" b="1" i="0" u="none" baseline="0">
                    <a:latin typeface="Arial"/>
                    <a:ea typeface="Arial"/>
                    <a:cs typeface="Arial"/>
                  </a:rPr>
                  <a:t>Vracht</a:t>
                </a:r>
              </a:p>
            </c:rich>
          </c:tx>
          <c:layout/>
          <c:overlay val="0"/>
          <c:spPr>
            <a:noFill/>
            <a:ln>
              <a:noFill/>
            </a:ln>
          </c:spPr>
        </c:title>
        <c:majorGridlines/>
        <c:delete val="0"/>
        <c:numFmt formatCode="General" sourceLinked="1"/>
        <c:majorTickMark val="out"/>
        <c:minorTickMark val="none"/>
        <c:tickLblPos val="nextTo"/>
        <c:crossAx val="36978170"/>
        <c:crosses val="autoZero"/>
        <c:crossBetween val="midCat"/>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Grondwater</a:t>
            </a:r>
          </a:p>
        </c:rich>
      </c:tx>
      <c:layout/>
      <c:spPr>
        <a:noFill/>
        <a:ln>
          <a:noFill/>
        </a:ln>
      </c:spPr>
    </c:title>
    <c:plotArea>
      <c:layout/>
      <c:scatterChart>
        <c:scatterStyle val="lineMarker"/>
        <c:varyColors val="0"/>
        <c:ser>
          <c:idx val="0"/>
          <c:order val="0"/>
          <c:tx>
            <c:strRef>
              <c:f>Klad!$G$7</c:f>
              <c:strCache>
                <c:ptCount val="1"/>
                <c:pt idx="0">
                  <c:v>Jaar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numRef>
              <c:f>Klad!$G$8:$G$68</c:f>
              <c:numCach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xVal>
          <c:yVal>
            <c:numRef>
              <c:f>Klad!$J$8:$J$68</c:f>
              <c:numCach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yVal>
          <c:smooth val="0"/>
        </c:ser>
        <c:axId val="62753336"/>
        <c:axId val="27909113"/>
      </c:scatterChart>
      <c:valAx>
        <c:axId val="62753336"/>
        <c:scaling>
          <c:orientation val="minMax"/>
          <c:max val="29.9"/>
          <c:min val="0"/>
        </c:scaling>
        <c:axPos val="b"/>
        <c:title>
          <c:tx>
            <c:rich>
              <a:bodyPr vert="horz" rot="0" anchor="ctr"/>
              <a:lstStyle/>
              <a:p>
                <a:pPr algn="ctr">
                  <a:defRPr/>
                </a:pPr>
                <a:r>
                  <a:rPr lang="en-US" cap="none" sz="1000" b="1" i="0" u="none" baseline="0">
                    <a:latin typeface="Arial"/>
                    <a:ea typeface="Arial"/>
                    <a:cs typeface="Arial"/>
                  </a:rPr>
                  <a:t>Tijd [jaar]</a:t>
                </a:r>
              </a:p>
            </c:rich>
          </c:tx>
          <c:layout/>
          <c:overlay val="0"/>
          <c:spPr>
            <a:noFill/>
            <a:ln>
              <a:noFill/>
            </a:ln>
          </c:spPr>
        </c:title>
        <c:delete val="0"/>
        <c:numFmt formatCode="General" sourceLinked="1"/>
        <c:majorTickMark val="out"/>
        <c:minorTickMark val="none"/>
        <c:tickLblPos val="nextTo"/>
        <c:crossAx val="27909113"/>
        <c:crosses val="autoZero"/>
        <c:crossBetween val="midCat"/>
        <c:dispUnits/>
      </c:valAx>
      <c:valAx>
        <c:axId val="27909113"/>
        <c:scaling>
          <c:orientation val="minMax"/>
          <c:min val="0"/>
        </c:scaling>
        <c:axPos val="l"/>
        <c:title>
          <c:tx>
            <c:rich>
              <a:bodyPr vert="horz" rot="-5400000" anchor="ctr"/>
              <a:lstStyle/>
              <a:p>
                <a:pPr algn="ctr">
                  <a:defRPr/>
                </a:pPr>
                <a:r>
                  <a:rPr lang="en-US" cap="none" sz="1000" b="1" i="0" u="none" baseline="0">
                    <a:latin typeface="Arial"/>
                    <a:ea typeface="Arial"/>
                    <a:cs typeface="Arial"/>
                  </a:rPr>
                  <a:t>Vracht [m3]</a:t>
                </a:r>
              </a:p>
            </c:rich>
          </c:tx>
          <c:layout/>
          <c:overlay val="0"/>
          <c:spPr>
            <a:noFill/>
            <a:ln>
              <a:noFill/>
            </a:ln>
          </c:spPr>
        </c:title>
        <c:majorGridlines/>
        <c:delete val="0"/>
        <c:numFmt formatCode="General" sourceLinked="1"/>
        <c:majorTickMark val="out"/>
        <c:minorTickMark val="none"/>
        <c:tickLblPos val="nextTo"/>
        <c:crossAx val="6275333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7525"/>
          <c:w val="0.91075"/>
          <c:h val="0.82"/>
        </c:manualLayout>
      </c:layout>
      <c:barChart>
        <c:barDir val="bar"/>
        <c:grouping val="clustered"/>
        <c:varyColors val="0"/>
        <c:ser>
          <c:idx val="0"/>
          <c:order val="0"/>
          <c:tx>
            <c:strRef>
              <c:f>Vergelijking!$A$102</c:f>
              <c:strCache>
                <c:ptCount val="1"/>
                <c:pt idx="0">
                  <c:v>verschil</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Vergelijking!$B$27:$J$27</c:f>
              <c:strCache/>
            </c:strRef>
          </c:cat>
          <c:val>
            <c:numRef>
              <c:f>Vergelijking!$B$102:$J$102</c:f>
              <c:numCache>
                <c:ptCount val="9"/>
                <c:pt idx="0">
                  <c:v>0</c:v>
                </c:pt>
                <c:pt idx="1">
                  <c:v>0</c:v>
                </c:pt>
                <c:pt idx="2">
                  <c:v>0</c:v>
                </c:pt>
                <c:pt idx="3">
                  <c:v>0</c:v>
                </c:pt>
                <c:pt idx="4">
                  <c:v>0</c:v>
                </c:pt>
                <c:pt idx="5">
                  <c:v>0</c:v>
                </c:pt>
                <c:pt idx="6">
                  <c:v>0</c:v>
                </c:pt>
                <c:pt idx="7">
                  <c:v>0</c:v>
                </c:pt>
                <c:pt idx="8">
                  <c:v>0</c:v>
                </c:pt>
              </c:numCache>
            </c:numRef>
          </c:val>
        </c:ser>
        <c:gapWidth val="50"/>
        <c:axId val="49855426"/>
        <c:axId val="46045651"/>
      </c:barChart>
      <c:catAx>
        <c:axId val="49855426"/>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latin typeface="Arial"/>
                <a:ea typeface="Arial"/>
                <a:cs typeface="Arial"/>
              </a:defRPr>
            </a:pPr>
          </a:p>
        </c:txPr>
        <c:crossAx val="46045651"/>
        <c:crosses val="autoZero"/>
        <c:auto val="1"/>
        <c:lblOffset val="60"/>
        <c:noMultiLvlLbl val="0"/>
      </c:catAx>
      <c:valAx>
        <c:axId val="46045651"/>
        <c:scaling>
          <c:orientation val="minMax"/>
          <c:max val="1"/>
          <c:min val="-1"/>
        </c:scaling>
        <c:axPos val="t"/>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985542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945"/>
          <c:w val="0.88675"/>
          <c:h val="0.817"/>
        </c:manualLayout>
      </c:layout>
      <c:barChart>
        <c:barDir val="bar"/>
        <c:grouping val="clustered"/>
        <c:varyColors val="0"/>
        <c:ser>
          <c:idx val="0"/>
          <c:order val="0"/>
          <c:tx>
            <c:strRef>
              <c:f>Vergelijking!$A$100</c:f>
              <c:strCache>
                <c:ptCount val="1"/>
                <c:pt idx="0">
                  <c:v>Nulvariant</c:v>
                </c:pt>
              </c:strCache>
            </c:strRef>
          </c:tx>
          <c:spPr>
            <a:solidFill>
              <a:srgbClr val="C0C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Vergelijking!$B$27:$J$27</c:f>
              <c:strCache/>
            </c:strRef>
          </c:cat>
          <c:val>
            <c:numRef>
              <c:f>Vergelijking!$B$100:$J$100</c:f>
              <c:numCache>
                <c:ptCount val="9"/>
                <c:pt idx="0">
                  <c:v>0</c:v>
                </c:pt>
                <c:pt idx="1">
                  <c:v>0</c:v>
                </c:pt>
                <c:pt idx="2">
                  <c:v>0</c:v>
                </c:pt>
                <c:pt idx="3">
                  <c:v>0</c:v>
                </c:pt>
                <c:pt idx="4">
                  <c:v>0</c:v>
                </c:pt>
                <c:pt idx="5">
                  <c:v>0</c:v>
                </c:pt>
                <c:pt idx="6">
                  <c:v>0</c:v>
                </c:pt>
                <c:pt idx="7">
                  <c:v>0</c:v>
                </c:pt>
                <c:pt idx="8">
                  <c:v>0</c:v>
                </c:pt>
              </c:numCache>
            </c:numRef>
          </c:val>
        </c:ser>
        <c:ser>
          <c:idx val="1"/>
          <c:order val="1"/>
          <c:tx>
            <c:strRef>
              <c:f>Vergelijking!$A$101</c:f>
              <c:strCache>
                <c:ptCount val="1"/>
                <c:pt idx="0">
                  <c:v>Variant I</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Vergelijking!$B$27:$J$27</c:f>
              <c:strCache/>
            </c:strRef>
          </c:cat>
          <c:val>
            <c:numRef>
              <c:f>Vergelijking!$B$101:$J$101</c:f>
              <c:numCache>
                <c:ptCount val="9"/>
                <c:pt idx="0">
                  <c:v>0</c:v>
                </c:pt>
                <c:pt idx="1">
                  <c:v>0</c:v>
                </c:pt>
                <c:pt idx="2">
                  <c:v>0</c:v>
                </c:pt>
                <c:pt idx="3">
                  <c:v>0</c:v>
                </c:pt>
                <c:pt idx="4">
                  <c:v>0</c:v>
                </c:pt>
                <c:pt idx="5">
                  <c:v>0</c:v>
                </c:pt>
                <c:pt idx="6">
                  <c:v>0</c:v>
                </c:pt>
                <c:pt idx="7">
                  <c:v>0</c:v>
                </c:pt>
                <c:pt idx="8">
                  <c:v>0</c:v>
                </c:pt>
              </c:numCache>
            </c:numRef>
          </c:val>
        </c:ser>
        <c:overlap val="-10"/>
        <c:gapWidth val="50"/>
        <c:axId val="11757676"/>
        <c:axId val="38710221"/>
      </c:barChart>
      <c:catAx>
        <c:axId val="11757676"/>
        <c:scaling>
          <c:orientation val="maxMin"/>
        </c:scaling>
        <c:axPos val="l"/>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38710221"/>
        <c:crosses val="autoZero"/>
        <c:auto val="1"/>
        <c:lblOffset val="100"/>
        <c:noMultiLvlLbl val="0"/>
      </c:catAx>
      <c:valAx>
        <c:axId val="38710221"/>
        <c:scaling>
          <c:orientation val="minMax"/>
          <c:max val="1"/>
          <c:min val="-1"/>
        </c:scaling>
        <c:axPos val="t"/>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757676"/>
        <c:crossesAt val="1"/>
        <c:crossBetween val="between"/>
        <c:dispUnits/>
      </c:valAx>
      <c:spPr>
        <a:noFill/>
        <a:ln w="12700">
          <a:solidFill>
            <a:srgbClr val="808080"/>
          </a:solidFill>
        </a:ln>
      </c:spPr>
    </c:plotArea>
    <c:legend>
      <c:legendPos val="b"/>
      <c:layout>
        <c:manualLayout>
          <c:xMode val="edge"/>
          <c:yMode val="edge"/>
          <c:x val="0.1685"/>
          <c:y val="0.9385"/>
          <c:w val="0.62025"/>
          <c:h val="0.051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325"/>
          <c:w val="0.745"/>
          <c:h val="0.935"/>
        </c:manualLayout>
      </c:layout>
      <c:barChart>
        <c:barDir val="col"/>
        <c:grouping val="clustered"/>
        <c:varyColors val="0"/>
        <c:ser>
          <c:idx val="0"/>
          <c:order val="0"/>
          <c:tx>
            <c:v>MV</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Result!$B$38:$I$38</c:f>
              <c:strCache/>
            </c:strRef>
          </c:cat>
          <c:val>
            <c:numRef>
              <c:f>Result!$B$48:$I$48</c:f>
              <c:numCache>
                <c:ptCount val="8"/>
                <c:pt idx="0">
                  <c:v>0</c:v>
                </c:pt>
                <c:pt idx="1">
                  <c:v>0</c:v>
                </c:pt>
                <c:pt idx="2">
                  <c:v>0</c:v>
                </c:pt>
                <c:pt idx="3">
                  <c:v>0</c:v>
                </c:pt>
                <c:pt idx="4">
                  <c:v>0</c:v>
                </c:pt>
                <c:pt idx="5">
                  <c:v>0</c:v>
                </c:pt>
                <c:pt idx="6">
                  <c:v>0</c:v>
                </c:pt>
                <c:pt idx="7">
                  <c:v>0</c:v>
                </c:pt>
              </c:numCache>
            </c:numRef>
          </c:val>
        </c:ser>
        <c:gapWidth val="80"/>
        <c:axId val="12847670"/>
        <c:axId val="48520167"/>
      </c:barChart>
      <c:lineChart>
        <c:grouping val="standard"/>
        <c:varyColors val="0"/>
        <c:ser>
          <c:idx val="1"/>
          <c:order val="2"/>
          <c:tx>
            <c:v>Stand. MF</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Result!$B$38:$I$38</c:f>
              <c:strCache/>
            </c:strRef>
          </c:cat>
          <c:val>
            <c:numRef>
              <c:f>Result!$B$50:$I$50</c:f>
              <c:numCache/>
            </c:numRef>
          </c:val>
          <c:smooth val="0"/>
        </c:ser>
        <c:axId val="34028320"/>
        <c:axId val="37819425"/>
      </c:lineChart>
      <c:lineChart>
        <c:grouping val="standard"/>
        <c:varyColors val="0"/>
        <c:ser>
          <c:idx val="2"/>
          <c:order val="1"/>
          <c:tx>
            <c:v>Th. Max</c:v>
          </c:tx>
          <c:spPr>
            <a:ln w="25400">
              <a:solidFill>
                <a:srgbClr val="3399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Result!$B$38:$I$38</c:f>
              <c:strCache/>
            </c:strRef>
          </c:cat>
          <c:val>
            <c:numRef>
              <c:f>Result!$B$49:$I$49</c:f>
              <c:numCache/>
            </c:numRef>
          </c:val>
          <c:smooth val="0"/>
        </c:ser>
        <c:axId val="12847670"/>
        <c:axId val="48520167"/>
      </c:lineChart>
      <c:catAx>
        <c:axId val="12847670"/>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8520167"/>
        <c:crosses val="autoZero"/>
        <c:auto val="0"/>
        <c:lblOffset val="100"/>
        <c:noMultiLvlLbl val="0"/>
      </c:catAx>
      <c:valAx>
        <c:axId val="48520167"/>
        <c:scaling>
          <c:orientation val="minMax"/>
        </c:scaling>
        <c:axPos val="l"/>
        <c:title>
          <c:tx>
            <c:rich>
              <a:bodyPr vert="horz" rot="-5400000" anchor="ctr"/>
              <a:lstStyle/>
              <a:p>
                <a:pPr algn="ctr">
                  <a:defRPr/>
                </a:pPr>
                <a:r>
                  <a:rPr lang="en-US" cap="none" sz="1000" b="1" i="0" u="none" baseline="0">
                    <a:latin typeface="Arial"/>
                    <a:ea typeface="Arial"/>
                    <a:cs typeface="Arial"/>
                  </a:rPr>
                  <a:t>Milieuverdienste-index</a:t>
                </a:r>
              </a:p>
            </c:rich>
          </c:tx>
          <c:layout/>
          <c:overlay val="0"/>
          <c:spPr>
            <a:noFill/>
            <a:ln>
              <a:noFill/>
            </a:ln>
          </c:spPr>
        </c:title>
        <c:delete val="0"/>
        <c:numFmt formatCode="General" sourceLinked="1"/>
        <c:majorTickMark val="out"/>
        <c:minorTickMark val="none"/>
        <c:tickLblPos val="nextTo"/>
        <c:crossAx val="12847670"/>
        <c:crossesAt val="1"/>
        <c:crossBetween val="between"/>
        <c:dispUnits/>
      </c:valAx>
      <c:catAx>
        <c:axId val="34028320"/>
        <c:scaling>
          <c:orientation val="minMax"/>
        </c:scaling>
        <c:axPos val="b"/>
        <c:delete val="1"/>
        <c:majorTickMark val="in"/>
        <c:minorTickMark val="none"/>
        <c:tickLblPos val="nextTo"/>
        <c:crossAx val="37819425"/>
        <c:crosses val="autoZero"/>
        <c:auto val="0"/>
        <c:lblOffset val="100"/>
        <c:noMultiLvlLbl val="0"/>
      </c:catAx>
      <c:valAx>
        <c:axId val="37819425"/>
        <c:scaling>
          <c:orientation val="minMax"/>
        </c:scaling>
        <c:axPos val="l"/>
        <c:delete val="1"/>
        <c:majorTickMark val="in"/>
        <c:minorTickMark val="none"/>
        <c:tickLblPos val="nextTo"/>
        <c:crossAx val="34028320"/>
        <c:crossesAt val="1"/>
        <c:crossBetween val="between"/>
        <c:dispUnits/>
      </c:valAx>
      <c:spPr>
        <a:solidFill>
          <a:srgbClr val="FFFFFF"/>
        </a:solidFill>
        <a:ln w="12700">
          <a:solidFill>
            <a:srgbClr val="808080"/>
          </a:solidFill>
        </a:ln>
      </c:spPr>
    </c:plotArea>
    <c:legend>
      <c:legendPos val="r"/>
      <c:legendEntry>
        <c:idx val="0"/>
        <c:delete val="1"/>
      </c:legendEntry>
      <c:layout>
        <c:manualLayout>
          <c:xMode val="edge"/>
          <c:yMode val="edge"/>
          <c:x val="0.82125"/>
          <c:y val="0.321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3175"/>
          <c:w val="0.64825"/>
          <c:h val="0.9385"/>
        </c:manualLayout>
      </c:layout>
      <c:barChart>
        <c:barDir val="col"/>
        <c:grouping val="stacked"/>
        <c:varyColors val="0"/>
        <c:ser>
          <c:idx val="9"/>
          <c:order val="0"/>
          <c:tx>
            <c:strRef>
              <c:f>Result!$A$47</c:f>
              <c:strCache>
                <c:ptCount val="1"/>
                <c:pt idx="0">
                  <c:v>M9 ruimtebeslag</c:v>
                </c:pt>
              </c:strCache>
            </c:strRef>
          </c:tx>
          <c:spPr>
            <a:solidFill>
              <a:srgbClr val="CC99FF"/>
            </a:solidFill>
          </c:spPr>
          <c:invertIfNegative val="0"/>
          <c:extLst>
            <c:ext xmlns:c14="http://schemas.microsoft.com/office/drawing/2007/8/2/chart" uri="{6F2FDCE9-48DA-4B69-8628-5D25D57E5C99}">
              <c14:invertSolidFillFmt>
                <c14:spPr>
                  <a:solidFill>
                    <a:srgbClr val="424242"/>
                  </a:solidFill>
                </c14:spPr>
              </c14:invertSolidFillFmt>
            </c:ext>
          </c:extLst>
          <c:cat>
            <c:strRef>
              <c:f>Result!$B$38:$K$38</c:f>
              <c:strCache/>
            </c:strRef>
          </c:cat>
          <c:val>
            <c:numRef>
              <c:f>Result!$B$47:$K$47</c:f>
              <c:numCache>
                <c:ptCount val="10"/>
                <c:pt idx="0">
                  <c:v>0</c:v>
                </c:pt>
                <c:pt idx="1">
                  <c:v>0</c:v>
                </c:pt>
                <c:pt idx="2">
                  <c:v>0</c:v>
                </c:pt>
                <c:pt idx="3">
                  <c:v>0</c:v>
                </c:pt>
                <c:pt idx="4">
                  <c:v>0</c:v>
                </c:pt>
                <c:pt idx="5">
                  <c:v>0</c:v>
                </c:pt>
                <c:pt idx="6">
                  <c:v>0</c:v>
                </c:pt>
                <c:pt idx="7">
                  <c:v>0</c:v>
                </c:pt>
                <c:pt idx="8">
                  <c:v>0</c:v>
                </c:pt>
                <c:pt idx="9">
                  <c:v>0</c:v>
                </c:pt>
              </c:numCache>
            </c:numRef>
          </c:val>
        </c:ser>
        <c:ser>
          <c:idx val="8"/>
          <c:order val="1"/>
          <c:tx>
            <c:strRef>
              <c:f>Result!$A$46</c:f>
              <c:strCache>
                <c:ptCount val="1"/>
                <c:pt idx="0">
                  <c:v>M8 afvalvorming</c:v>
                </c:pt>
              </c:strCache>
            </c:strRef>
          </c:tx>
          <c:spPr>
            <a:gradFill rotWithShape="1">
              <a:gsLst>
                <a:gs pos="0">
                  <a:srgbClr val="757546"/>
                </a:gs>
                <a:gs pos="100000">
                  <a:srgbClr val="FFFF99"/>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cat>
            <c:strRef>
              <c:f>Result!$B$38:$K$38</c:f>
              <c:strCache/>
            </c:strRef>
          </c:cat>
          <c:val>
            <c:numRef>
              <c:f>Result!$B$46:$K$46</c:f>
              <c:numCache>
                <c:ptCount val="10"/>
                <c:pt idx="0">
                  <c:v>0</c:v>
                </c:pt>
                <c:pt idx="1">
                  <c:v>0</c:v>
                </c:pt>
                <c:pt idx="2">
                  <c:v>0</c:v>
                </c:pt>
                <c:pt idx="3">
                  <c:v>0</c:v>
                </c:pt>
                <c:pt idx="4">
                  <c:v>0</c:v>
                </c:pt>
                <c:pt idx="5">
                  <c:v>0</c:v>
                </c:pt>
                <c:pt idx="6">
                  <c:v>0</c:v>
                </c:pt>
                <c:pt idx="7">
                  <c:v>0</c:v>
                </c:pt>
                <c:pt idx="8">
                  <c:v>0</c:v>
                </c:pt>
                <c:pt idx="9">
                  <c:v>0</c:v>
                </c:pt>
              </c:numCache>
            </c:numRef>
          </c:val>
        </c:ser>
        <c:ser>
          <c:idx val="7"/>
          <c:order val="2"/>
          <c:tx>
            <c:strRef>
              <c:f>Result!$A$45</c:f>
              <c:strCache>
                <c:ptCount val="1"/>
                <c:pt idx="0">
                  <c:v>M7 opp. wateremissies</c:v>
                </c:pt>
              </c:strCache>
            </c:strRef>
          </c:tx>
          <c:spPr>
            <a:solidFill>
              <a:srgbClr val="A6CAF0"/>
            </a:solidFill>
          </c:spPr>
          <c:invertIfNegative val="0"/>
          <c:extLst>
            <c:ext xmlns:c14="http://schemas.microsoft.com/office/drawing/2007/8/2/chart" uri="{6F2FDCE9-48DA-4B69-8628-5D25D57E5C99}">
              <c14:invertSolidFillFmt>
                <c14:spPr>
                  <a:solidFill>
                    <a:srgbClr val="0000FF"/>
                  </a:solidFill>
                </c14:spPr>
              </c14:invertSolidFillFmt>
            </c:ext>
          </c:extLst>
          <c:cat>
            <c:strRef>
              <c:f>Result!$B$38:$K$38</c:f>
              <c:strCache/>
            </c:strRef>
          </c:cat>
          <c:val>
            <c:numRef>
              <c:f>Result!$B$45:$K$45</c:f>
              <c:numCache>
                <c:ptCount val="10"/>
                <c:pt idx="0">
                  <c:v>0</c:v>
                </c:pt>
                <c:pt idx="1">
                  <c:v>0</c:v>
                </c:pt>
                <c:pt idx="2">
                  <c:v>0</c:v>
                </c:pt>
                <c:pt idx="3">
                  <c:v>0</c:v>
                </c:pt>
                <c:pt idx="4">
                  <c:v>0</c:v>
                </c:pt>
                <c:pt idx="5">
                  <c:v>0</c:v>
                </c:pt>
                <c:pt idx="6">
                  <c:v>0</c:v>
                </c:pt>
                <c:pt idx="7">
                  <c:v>0</c:v>
                </c:pt>
                <c:pt idx="8">
                  <c:v>0</c:v>
                </c:pt>
                <c:pt idx="9">
                  <c:v>0</c:v>
                </c:pt>
              </c:numCache>
            </c:numRef>
          </c:val>
        </c:ser>
        <c:ser>
          <c:idx val="6"/>
          <c:order val="3"/>
          <c:tx>
            <c:strRef>
              <c:f>Result!$A$44</c:f>
              <c:strCache>
                <c:ptCount val="1"/>
                <c:pt idx="0">
                  <c:v>M6 luchtemissies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Result!$B$38:$K$38</c:f>
              <c:strCache/>
            </c:strRef>
          </c:cat>
          <c:val>
            <c:numRef>
              <c:f>Result!$B$44:$K$44</c:f>
              <c:numCache>
                <c:ptCount val="10"/>
                <c:pt idx="0">
                  <c:v>0</c:v>
                </c:pt>
                <c:pt idx="1">
                  <c:v>0</c:v>
                </c:pt>
                <c:pt idx="2">
                  <c:v>0</c:v>
                </c:pt>
                <c:pt idx="3">
                  <c:v>0</c:v>
                </c:pt>
                <c:pt idx="4">
                  <c:v>0</c:v>
                </c:pt>
                <c:pt idx="5">
                  <c:v>0</c:v>
                </c:pt>
                <c:pt idx="6">
                  <c:v>0</c:v>
                </c:pt>
                <c:pt idx="7">
                  <c:v>0</c:v>
                </c:pt>
                <c:pt idx="8">
                  <c:v>0</c:v>
                </c:pt>
                <c:pt idx="9">
                  <c:v>0</c:v>
                </c:pt>
              </c:numCache>
            </c:numRef>
          </c:val>
        </c:ser>
        <c:ser>
          <c:idx val="5"/>
          <c:order val="4"/>
          <c:tx>
            <c:strRef>
              <c:f>Result!$A$43</c:f>
              <c:strCache>
                <c:ptCount val="1"/>
                <c:pt idx="0">
                  <c:v>M5 energiegebruik</c:v>
                </c:pt>
              </c:strCache>
            </c:strRef>
          </c:tx>
          <c:spPr>
            <a:solidFill>
              <a:srgbClr val="FF0000"/>
            </a:solidFill>
          </c:spPr>
          <c:invertIfNegative val="0"/>
          <c:extLst>
            <c:ext xmlns:c14="http://schemas.microsoft.com/office/drawing/2007/8/2/chart" uri="{6F2FDCE9-48DA-4B69-8628-5D25D57E5C99}">
              <c14:invertSolidFillFmt>
                <c14:spPr>
                  <a:solidFill>
                    <a:srgbClr val="FF0000"/>
                  </a:solidFill>
                </c14:spPr>
              </c14:invertSolidFillFmt>
            </c:ext>
          </c:extLst>
          <c:cat>
            <c:strRef>
              <c:f>Result!$B$38:$K$38</c:f>
              <c:strCache/>
            </c:strRef>
          </c:cat>
          <c:val>
            <c:numRef>
              <c:f>Result!$B$43:$K$43</c:f>
              <c:numCache>
                <c:ptCount val="10"/>
                <c:pt idx="0">
                  <c:v>0</c:v>
                </c:pt>
                <c:pt idx="1">
                  <c:v>0</c:v>
                </c:pt>
                <c:pt idx="2">
                  <c:v>0</c:v>
                </c:pt>
                <c:pt idx="3">
                  <c:v>0</c:v>
                </c:pt>
                <c:pt idx="4">
                  <c:v>0</c:v>
                </c:pt>
                <c:pt idx="5">
                  <c:v>0</c:v>
                </c:pt>
                <c:pt idx="6">
                  <c:v>0</c:v>
                </c:pt>
                <c:pt idx="7">
                  <c:v>0</c:v>
                </c:pt>
                <c:pt idx="8">
                  <c:v>0</c:v>
                </c:pt>
                <c:pt idx="9">
                  <c:v>0</c:v>
                </c:pt>
              </c:numCache>
            </c:numRef>
          </c:val>
        </c:ser>
        <c:ser>
          <c:idx val="4"/>
          <c:order val="5"/>
          <c:tx>
            <c:strRef>
              <c:f>Result!$A$42</c:f>
              <c:strCache>
                <c:ptCount val="1"/>
                <c:pt idx="0">
                  <c:v>M4 verlies grondwater</c:v>
                </c:pt>
              </c:strCache>
            </c:strRef>
          </c:tx>
          <c:spPr>
            <a:gradFill rotWithShape="1">
              <a:gsLst>
                <a:gs pos="0">
                  <a:srgbClr val="0000FF"/>
                </a:gs>
                <a:gs pos="100000">
                  <a:srgbClr val="000075"/>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cat>
            <c:strRef>
              <c:f>Result!$B$38:$K$38</c:f>
              <c:strCache/>
            </c:strRef>
          </c:cat>
          <c:val>
            <c:numRef>
              <c:f>Result!$B$42:$K$42</c:f>
              <c:numCache>
                <c:ptCount val="10"/>
                <c:pt idx="0">
                  <c:v>0</c:v>
                </c:pt>
                <c:pt idx="1">
                  <c:v>0</c:v>
                </c:pt>
                <c:pt idx="2">
                  <c:v>0</c:v>
                </c:pt>
                <c:pt idx="3">
                  <c:v>0</c:v>
                </c:pt>
                <c:pt idx="4">
                  <c:v>0</c:v>
                </c:pt>
                <c:pt idx="5">
                  <c:v>0</c:v>
                </c:pt>
                <c:pt idx="6">
                  <c:v>0</c:v>
                </c:pt>
                <c:pt idx="7">
                  <c:v>0</c:v>
                </c:pt>
                <c:pt idx="8">
                  <c:v>0</c:v>
                </c:pt>
                <c:pt idx="9">
                  <c:v>0</c:v>
                </c:pt>
              </c:numCache>
            </c:numRef>
          </c:val>
        </c:ser>
        <c:ser>
          <c:idx val="0"/>
          <c:order val="6"/>
          <c:tx>
            <c:strRef>
              <c:f>Result!$A$41</c:f>
              <c:strCache>
                <c:ptCount val="1"/>
                <c:pt idx="0">
                  <c:v>M3 verlies grond</c:v>
                </c:pt>
              </c:strCache>
            </c:strRef>
          </c:tx>
          <c:spPr>
            <a:solidFill>
              <a:srgbClr val="663300"/>
            </a:solidFill>
          </c:spPr>
          <c:invertIfNegative val="0"/>
          <c:extLst>
            <c:ext xmlns:c14="http://schemas.microsoft.com/office/drawing/2007/8/2/chart" uri="{6F2FDCE9-48DA-4B69-8628-5D25D57E5C99}">
              <c14:invertSolidFillFmt>
                <c14:spPr>
                  <a:solidFill>
                    <a:srgbClr val="FFFFFF"/>
                  </a:solidFill>
                </c14:spPr>
              </c14:invertSolidFillFmt>
            </c:ext>
          </c:extLst>
          <c:cat>
            <c:strRef>
              <c:f>Result!$B$38:$K$38</c:f>
              <c:strCache/>
            </c:strRef>
          </c:cat>
          <c:val>
            <c:numRef>
              <c:f>Result!$B$41:$K$41</c:f>
              <c:numCache>
                <c:ptCount val="10"/>
                <c:pt idx="0">
                  <c:v>0</c:v>
                </c:pt>
                <c:pt idx="1">
                  <c:v>0</c:v>
                </c:pt>
                <c:pt idx="2">
                  <c:v>0</c:v>
                </c:pt>
                <c:pt idx="3">
                  <c:v>0</c:v>
                </c:pt>
                <c:pt idx="4">
                  <c:v>0</c:v>
                </c:pt>
                <c:pt idx="5">
                  <c:v>0</c:v>
                </c:pt>
                <c:pt idx="6">
                  <c:v>0</c:v>
                </c:pt>
                <c:pt idx="7">
                  <c:v>0</c:v>
                </c:pt>
                <c:pt idx="8">
                  <c:v>0</c:v>
                </c:pt>
                <c:pt idx="9">
                  <c:v>0</c:v>
                </c:pt>
              </c:numCache>
            </c:numRef>
          </c:val>
        </c:ser>
        <c:ser>
          <c:idx val="2"/>
          <c:order val="7"/>
          <c:tx>
            <c:strRef>
              <c:f>Result!$A$40</c:f>
              <c:strCache>
                <c:ptCount val="1"/>
                <c:pt idx="0">
                  <c:v>M2 grondwaterkwaliteit</c:v>
                </c:pt>
              </c:strCache>
            </c:strRef>
          </c:tx>
          <c:spPr>
            <a:solidFill>
              <a:srgbClr val="0000FF"/>
            </a:solidFill>
          </c:spPr>
          <c:invertIfNegative val="0"/>
          <c:extLst>
            <c:ext xmlns:c14="http://schemas.microsoft.com/office/drawing/2007/8/2/chart" uri="{6F2FDCE9-48DA-4B69-8628-5D25D57E5C99}">
              <c14:invertSolidFillFmt>
                <c14:spPr>
                  <a:solidFill>
                    <a:srgbClr val="FF0000"/>
                  </a:solidFill>
                </c14:spPr>
              </c14:invertSolidFillFmt>
            </c:ext>
          </c:extLst>
          <c:cat>
            <c:strRef>
              <c:f>Result!$B$38:$K$38</c:f>
              <c:strCache/>
            </c:strRef>
          </c:cat>
          <c:val>
            <c:numRef>
              <c:f>Result!$B$40:$K$40</c:f>
              <c:numCache>
                <c:ptCount val="10"/>
                <c:pt idx="0">
                  <c:v>0</c:v>
                </c:pt>
                <c:pt idx="1">
                  <c:v>0</c:v>
                </c:pt>
                <c:pt idx="2">
                  <c:v>0</c:v>
                </c:pt>
                <c:pt idx="3">
                  <c:v>0</c:v>
                </c:pt>
                <c:pt idx="4">
                  <c:v>0</c:v>
                </c:pt>
                <c:pt idx="5">
                  <c:v>0</c:v>
                </c:pt>
                <c:pt idx="6">
                  <c:v>0</c:v>
                </c:pt>
                <c:pt idx="7">
                  <c:v>0</c:v>
                </c:pt>
                <c:pt idx="8">
                  <c:v>0</c:v>
                </c:pt>
                <c:pt idx="9">
                  <c:v>0</c:v>
                </c:pt>
              </c:numCache>
            </c:numRef>
          </c:val>
        </c:ser>
        <c:ser>
          <c:idx val="1"/>
          <c:order val="8"/>
          <c:tx>
            <c:strRef>
              <c:f>Result!$A$39</c:f>
              <c:strCache>
                <c:ptCount val="1"/>
                <c:pt idx="0">
                  <c:v>M1 grondkwaliteit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Result!$B$38:$K$38</c:f>
              <c:strCache/>
            </c:strRef>
          </c:cat>
          <c:val>
            <c:numRef>
              <c:f>Result!$B$39:$K$39</c:f>
              <c:numCache>
                <c:ptCount val="10"/>
                <c:pt idx="0">
                  <c:v>0</c:v>
                </c:pt>
                <c:pt idx="1">
                  <c:v>0</c:v>
                </c:pt>
                <c:pt idx="2">
                  <c:v>0</c:v>
                </c:pt>
                <c:pt idx="3">
                  <c:v>0</c:v>
                </c:pt>
                <c:pt idx="4">
                  <c:v>0</c:v>
                </c:pt>
                <c:pt idx="5">
                  <c:v>0</c:v>
                </c:pt>
                <c:pt idx="6">
                  <c:v>0</c:v>
                </c:pt>
                <c:pt idx="7">
                  <c:v>0</c:v>
                </c:pt>
                <c:pt idx="8">
                  <c:v>0</c:v>
                </c:pt>
                <c:pt idx="9">
                  <c:v>0</c:v>
                </c:pt>
              </c:numCache>
            </c:numRef>
          </c:val>
        </c:ser>
        <c:overlap val="100"/>
        <c:gapWidth val="40"/>
        <c:axId val="4830506"/>
        <c:axId val="43474555"/>
      </c:barChart>
      <c:catAx>
        <c:axId val="4830506"/>
        <c:scaling>
          <c:orientation val="minMax"/>
        </c:scaling>
        <c:axPos val="b"/>
        <c:delete val="0"/>
        <c:numFmt formatCode="General" sourceLinked="1"/>
        <c:majorTickMark val="out"/>
        <c:minorTickMark val="none"/>
        <c:tickLblPos val="nextTo"/>
        <c:txPr>
          <a:bodyPr vert="horz" rot="-5400000"/>
          <a:lstStyle/>
          <a:p>
            <a:pPr>
              <a:defRPr lang="en-US" cap="none" sz="850" b="0" i="0" u="none" baseline="0">
                <a:latin typeface="Arial"/>
                <a:ea typeface="Arial"/>
                <a:cs typeface="Arial"/>
              </a:defRPr>
            </a:pPr>
          </a:p>
        </c:txPr>
        <c:crossAx val="43474555"/>
        <c:crosses val="autoZero"/>
        <c:auto val="1"/>
        <c:lblOffset val="100"/>
        <c:noMultiLvlLbl val="0"/>
      </c:catAx>
      <c:valAx>
        <c:axId val="43474555"/>
        <c:scaling>
          <c:orientation val="minMax"/>
        </c:scaling>
        <c:axPos val="l"/>
        <c:title>
          <c:tx>
            <c:rich>
              <a:bodyPr vert="horz" rot="-5400000" anchor="ctr"/>
              <a:lstStyle/>
              <a:p>
                <a:pPr algn="ctr">
                  <a:defRPr/>
                </a:pPr>
                <a:r>
                  <a:rPr lang="en-US" cap="none" sz="850" b="1" i="0" u="none" baseline="0">
                    <a:latin typeface="Arial"/>
                    <a:ea typeface="Arial"/>
                    <a:cs typeface="Arial"/>
                  </a:rPr>
                  <a:t>Bijdrage aan Milieuverdienste</a:t>
                </a:r>
              </a:p>
            </c:rich>
          </c:tx>
          <c:layout>
            <c:manualLayout>
              <c:xMode val="factor"/>
              <c:yMode val="factor"/>
              <c:x val="-0.001"/>
              <c:y val="-0.007"/>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830506"/>
        <c:crossesAt val="1"/>
        <c:crossBetween val="between"/>
        <c:dispUnits/>
      </c:valAx>
      <c:spPr>
        <a:noFill/>
        <a:ln w="12700">
          <a:solidFill>
            <a:srgbClr val="808080"/>
          </a:solidFill>
        </a:ln>
      </c:spPr>
    </c:plotArea>
    <c:legend>
      <c:legendPos val="r"/>
      <c:layout>
        <c:manualLayout>
          <c:xMode val="edge"/>
          <c:yMode val="edge"/>
          <c:x val="0.71175"/>
          <c:y val="0.2045"/>
          <c:w val="0.23375"/>
          <c:h val="0.546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225"/>
          <c:w val="0.69825"/>
          <c:h val="0.955"/>
        </c:manualLayout>
      </c:layout>
      <c:barChart>
        <c:barDir val="col"/>
        <c:grouping val="stacked"/>
        <c:varyColors val="0"/>
        <c:ser>
          <c:idx val="9"/>
          <c:order val="0"/>
          <c:tx>
            <c:strRef>
              <c:f>Result!$A$47</c:f>
              <c:strCache>
                <c:ptCount val="1"/>
                <c:pt idx="0">
                  <c:v>M9 ruimtebeslag</c:v>
                </c:pt>
              </c:strCache>
            </c:strRef>
          </c:tx>
          <c:spPr>
            <a:solidFill>
              <a:srgbClr val="CC99FF"/>
            </a:solidFill>
          </c:spPr>
          <c:invertIfNegative val="0"/>
          <c:extLst>
            <c:ext xmlns:c14="http://schemas.microsoft.com/office/drawing/2007/8/2/chart" uri="{6F2FDCE9-48DA-4B69-8628-5D25D57E5C99}">
              <c14:invertSolidFillFmt>
                <c14:spPr>
                  <a:solidFill>
                    <a:srgbClr val="424242"/>
                  </a:solidFill>
                </c14:spPr>
              </c14:invertSolidFillFmt>
            </c:ext>
          </c:extLst>
          <c:cat>
            <c:strRef>
              <c:f>Result!$B$38:$J$38</c:f>
              <c:strCache/>
            </c:strRef>
          </c:cat>
          <c:val>
            <c:numRef>
              <c:f>Result!$B$47:$J$47</c:f>
              <c:numCache>
                <c:ptCount val="9"/>
                <c:pt idx="0">
                  <c:v>0</c:v>
                </c:pt>
                <c:pt idx="1">
                  <c:v>0</c:v>
                </c:pt>
                <c:pt idx="2">
                  <c:v>0</c:v>
                </c:pt>
                <c:pt idx="3">
                  <c:v>0</c:v>
                </c:pt>
                <c:pt idx="4">
                  <c:v>0</c:v>
                </c:pt>
                <c:pt idx="5">
                  <c:v>0</c:v>
                </c:pt>
                <c:pt idx="6">
                  <c:v>0</c:v>
                </c:pt>
                <c:pt idx="7">
                  <c:v>0</c:v>
                </c:pt>
                <c:pt idx="8">
                  <c:v>0</c:v>
                </c:pt>
              </c:numCache>
            </c:numRef>
          </c:val>
        </c:ser>
        <c:ser>
          <c:idx val="8"/>
          <c:order val="1"/>
          <c:tx>
            <c:strRef>
              <c:f>Result!$A$46</c:f>
              <c:strCache>
                <c:ptCount val="1"/>
                <c:pt idx="0">
                  <c:v>M8 afvalvorming</c:v>
                </c:pt>
              </c:strCache>
            </c:strRef>
          </c:tx>
          <c:spPr>
            <a:gradFill rotWithShape="1">
              <a:gsLst>
                <a:gs pos="0">
                  <a:srgbClr val="757546"/>
                </a:gs>
                <a:gs pos="100000">
                  <a:srgbClr val="FFFF99"/>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cat>
            <c:strRef>
              <c:f>Result!$B$38:$J$38</c:f>
              <c:strCache/>
            </c:strRef>
          </c:cat>
          <c:val>
            <c:numRef>
              <c:f>Result!$B$46:$J$46</c:f>
              <c:numCache>
                <c:ptCount val="9"/>
                <c:pt idx="0">
                  <c:v>0</c:v>
                </c:pt>
                <c:pt idx="1">
                  <c:v>0</c:v>
                </c:pt>
                <c:pt idx="2">
                  <c:v>0</c:v>
                </c:pt>
                <c:pt idx="3">
                  <c:v>0</c:v>
                </c:pt>
                <c:pt idx="4">
                  <c:v>0</c:v>
                </c:pt>
                <c:pt idx="5">
                  <c:v>0</c:v>
                </c:pt>
                <c:pt idx="6">
                  <c:v>0</c:v>
                </c:pt>
                <c:pt idx="7">
                  <c:v>0</c:v>
                </c:pt>
                <c:pt idx="8">
                  <c:v>0</c:v>
                </c:pt>
              </c:numCache>
            </c:numRef>
          </c:val>
        </c:ser>
        <c:ser>
          <c:idx val="7"/>
          <c:order val="2"/>
          <c:tx>
            <c:strRef>
              <c:f>Result!$A$45</c:f>
              <c:strCache>
                <c:ptCount val="1"/>
                <c:pt idx="0">
                  <c:v>M7 opp. wateremissies</c:v>
                </c:pt>
              </c:strCache>
            </c:strRef>
          </c:tx>
          <c:spPr>
            <a:solidFill>
              <a:srgbClr val="A6CAF0"/>
            </a:solidFill>
          </c:spPr>
          <c:invertIfNegative val="0"/>
          <c:extLst>
            <c:ext xmlns:c14="http://schemas.microsoft.com/office/drawing/2007/8/2/chart" uri="{6F2FDCE9-48DA-4B69-8628-5D25D57E5C99}">
              <c14:invertSolidFillFmt>
                <c14:spPr>
                  <a:solidFill>
                    <a:srgbClr val="0000FF"/>
                  </a:solidFill>
                </c14:spPr>
              </c14:invertSolidFillFmt>
            </c:ext>
          </c:extLst>
          <c:cat>
            <c:strRef>
              <c:f>Result!$B$38:$J$38</c:f>
              <c:strCache/>
            </c:strRef>
          </c:cat>
          <c:val>
            <c:numRef>
              <c:f>Result!$B$45:$J$45</c:f>
              <c:numCache>
                <c:ptCount val="9"/>
                <c:pt idx="0">
                  <c:v>0</c:v>
                </c:pt>
                <c:pt idx="1">
                  <c:v>0</c:v>
                </c:pt>
                <c:pt idx="2">
                  <c:v>0</c:v>
                </c:pt>
                <c:pt idx="3">
                  <c:v>0</c:v>
                </c:pt>
                <c:pt idx="4">
                  <c:v>0</c:v>
                </c:pt>
                <c:pt idx="5">
                  <c:v>0</c:v>
                </c:pt>
                <c:pt idx="6">
                  <c:v>0</c:v>
                </c:pt>
                <c:pt idx="7">
                  <c:v>0</c:v>
                </c:pt>
                <c:pt idx="8">
                  <c:v>0</c:v>
                </c:pt>
              </c:numCache>
            </c:numRef>
          </c:val>
        </c:ser>
        <c:ser>
          <c:idx val="6"/>
          <c:order val="3"/>
          <c:tx>
            <c:strRef>
              <c:f>Result!$A$44</c:f>
              <c:strCache>
                <c:ptCount val="1"/>
                <c:pt idx="0">
                  <c:v>M6 luchtemissies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Result!$B$38:$J$38</c:f>
              <c:strCache/>
            </c:strRef>
          </c:cat>
          <c:val>
            <c:numRef>
              <c:f>Result!$B$44:$J$44</c:f>
              <c:numCache>
                <c:ptCount val="9"/>
                <c:pt idx="0">
                  <c:v>0</c:v>
                </c:pt>
                <c:pt idx="1">
                  <c:v>0</c:v>
                </c:pt>
                <c:pt idx="2">
                  <c:v>0</c:v>
                </c:pt>
                <c:pt idx="3">
                  <c:v>0</c:v>
                </c:pt>
                <c:pt idx="4">
                  <c:v>0</c:v>
                </c:pt>
                <c:pt idx="5">
                  <c:v>0</c:v>
                </c:pt>
                <c:pt idx="6">
                  <c:v>0</c:v>
                </c:pt>
                <c:pt idx="7">
                  <c:v>0</c:v>
                </c:pt>
                <c:pt idx="8">
                  <c:v>0</c:v>
                </c:pt>
              </c:numCache>
            </c:numRef>
          </c:val>
        </c:ser>
        <c:ser>
          <c:idx val="5"/>
          <c:order val="4"/>
          <c:tx>
            <c:strRef>
              <c:f>Result!$A$43</c:f>
              <c:strCache>
                <c:ptCount val="1"/>
                <c:pt idx="0">
                  <c:v>M5 energiegebruik</c:v>
                </c:pt>
              </c:strCache>
            </c:strRef>
          </c:tx>
          <c:spPr>
            <a:solidFill>
              <a:srgbClr val="FF0000"/>
            </a:solidFill>
          </c:spPr>
          <c:invertIfNegative val="0"/>
          <c:extLst>
            <c:ext xmlns:c14="http://schemas.microsoft.com/office/drawing/2007/8/2/chart" uri="{6F2FDCE9-48DA-4B69-8628-5D25D57E5C99}">
              <c14:invertSolidFillFmt>
                <c14:spPr>
                  <a:solidFill>
                    <a:srgbClr val="FF0000"/>
                  </a:solidFill>
                </c14:spPr>
              </c14:invertSolidFillFmt>
            </c:ext>
          </c:extLst>
          <c:cat>
            <c:strRef>
              <c:f>Result!$B$38:$J$38</c:f>
              <c:strCache/>
            </c:strRef>
          </c:cat>
          <c:val>
            <c:numRef>
              <c:f>Result!$B$43:$J$43</c:f>
              <c:numCache>
                <c:ptCount val="9"/>
                <c:pt idx="0">
                  <c:v>0</c:v>
                </c:pt>
                <c:pt idx="1">
                  <c:v>0</c:v>
                </c:pt>
                <c:pt idx="2">
                  <c:v>0</c:v>
                </c:pt>
                <c:pt idx="3">
                  <c:v>0</c:v>
                </c:pt>
                <c:pt idx="4">
                  <c:v>0</c:v>
                </c:pt>
                <c:pt idx="5">
                  <c:v>0</c:v>
                </c:pt>
                <c:pt idx="6">
                  <c:v>0</c:v>
                </c:pt>
                <c:pt idx="7">
                  <c:v>0</c:v>
                </c:pt>
                <c:pt idx="8">
                  <c:v>0</c:v>
                </c:pt>
              </c:numCache>
            </c:numRef>
          </c:val>
        </c:ser>
        <c:ser>
          <c:idx val="4"/>
          <c:order val="5"/>
          <c:tx>
            <c:strRef>
              <c:f>Result!$A$42</c:f>
              <c:strCache>
                <c:ptCount val="1"/>
                <c:pt idx="0">
                  <c:v>M4 verlies grondwater</c:v>
                </c:pt>
              </c:strCache>
            </c:strRef>
          </c:tx>
          <c:spPr>
            <a:gradFill rotWithShape="1">
              <a:gsLst>
                <a:gs pos="0">
                  <a:srgbClr val="0000FF"/>
                </a:gs>
                <a:gs pos="100000">
                  <a:srgbClr val="000075"/>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cat>
            <c:strRef>
              <c:f>Result!$B$38:$J$38</c:f>
              <c:strCache/>
            </c:strRef>
          </c:cat>
          <c:val>
            <c:numRef>
              <c:f>Result!$B$42:$J$42</c:f>
              <c:numCache>
                <c:ptCount val="9"/>
                <c:pt idx="0">
                  <c:v>0</c:v>
                </c:pt>
                <c:pt idx="1">
                  <c:v>0</c:v>
                </c:pt>
                <c:pt idx="2">
                  <c:v>0</c:v>
                </c:pt>
                <c:pt idx="3">
                  <c:v>0</c:v>
                </c:pt>
                <c:pt idx="4">
                  <c:v>0</c:v>
                </c:pt>
                <c:pt idx="5">
                  <c:v>0</c:v>
                </c:pt>
                <c:pt idx="6">
                  <c:v>0</c:v>
                </c:pt>
                <c:pt idx="7">
                  <c:v>0</c:v>
                </c:pt>
                <c:pt idx="8">
                  <c:v>0</c:v>
                </c:pt>
              </c:numCache>
            </c:numRef>
          </c:val>
        </c:ser>
        <c:ser>
          <c:idx val="0"/>
          <c:order val="6"/>
          <c:tx>
            <c:strRef>
              <c:f>Result!$A$41</c:f>
              <c:strCache>
                <c:ptCount val="1"/>
                <c:pt idx="0">
                  <c:v>M3 verlies grond</c:v>
                </c:pt>
              </c:strCache>
            </c:strRef>
          </c:tx>
          <c:spPr>
            <a:solidFill>
              <a:srgbClr val="663300"/>
            </a:solidFill>
          </c:spPr>
          <c:invertIfNegative val="0"/>
          <c:extLst>
            <c:ext xmlns:c14="http://schemas.microsoft.com/office/drawing/2007/8/2/chart" uri="{6F2FDCE9-48DA-4B69-8628-5D25D57E5C99}">
              <c14:invertSolidFillFmt>
                <c14:spPr>
                  <a:solidFill>
                    <a:srgbClr val="FFFFFF"/>
                  </a:solidFill>
                </c14:spPr>
              </c14:invertSolidFillFmt>
            </c:ext>
          </c:extLst>
          <c:cat>
            <c:strRef>
              <c:f>Result!$B$38:$J$38</c:f>
              <c:strCache/>
            </c:strRef>
          </c:cat>
          <c:val>
            <c:numRef>
              <c:f>Result!$B$41:$J$41</c:f>
              <c:numCache>
                <c:ptCount val="9"/>
                <c:pt idx="0">
                  <c:v>0</c:v>
                </c:pt>
                <c:pt idx="1">
                  <c:v>0</c:v>
                </c:pt>
                <c:pt idx="2">
                  <c:v>0</c:v>
                </c:pt>
                <c:pt idx="3">
                  <c:v>0</c:v>
                </c:pt>
                <c:pt idx="4">
                  <c:v>0</c:v>
                </c:pt>
                <c:pt idx="5">
                  <c:v>0</c:v>
                </c:pt>
                <c:pt idx="6">
                  <c:v>0</c:v>
                </c:pt>
                <c:pt idx="7">
                  <c:v>0</c:v>
                </c:pt>
                <c:pt idx="8">
                  <c:v>0</c:v>
                </c:pt>
              </c:numCache>
            </c:numRef>
          </c:val>
        </c:ser>
        <c:overlap val="100"/>
        <c:gapWidth val="40"/>
        <c:axId val="55726676"/>
        <c:axId val="31778037"/>
      </c:barChart>
      <c:catAx>
        <c:axId val="55726676"/>
        <c:scaling>
          <c:orientation val="minMax"/>
        </c:scaling>
        <c:axPos val="b"/>
        <c:delete val="0"/>
        <c:numFmt formatCode="General" sourceLinked="1"/>
        <c:majorTickMark val="out"/>
        <c:minorTickMark val="none"/>
        <c:tickLblPos val="nextTo"/>
        <c:txPr>
          <a:bodyPr vert="horz" rot="-5400000"/>
          <a:lstStyle/>
          <a:p>
            <a:pPr>
              <a:defRPr lang="en-US" cap="none" sz="975" b="0" i="0" u="none" baseline="0">
                <a:latin typeface="Arial"/>
                <a:ea typeface="Arial"/>
                <a:cs typeface="Arial"/>
              </a:defRPr>
            </a:pPr>
          </a:p>
        </c:txPr>
        <c:crossAx val="31778037"/>
        <c:crosses val="autoZero"/>
        <c:auto val="1"/>
        <c:lblOffset val="100"/>
        <c:noMultiLvlLbl val="0"/>
      </c:catAx>
      <c:valAx>
        <c:axId val="31778037"/>
        <c:scaling>
          <c:orientation val="minMax"/>
        </c:scaling>
        <c:axPos val="l"/>
        <c:title>
          <c:tx>
            <c:rich>
              <a:bodyPr vert="horz" rot="-5400000" anchor="ctr"/>
              <a:lstStyle/>
              <a:p>
                <a:pPr algn="ctr">
                  <a:defRPr/>
                </a:pPr>
                <a:r>
                  <a:rPr lang="en-US" cap="none" sz="975" b="1" i="0" u="none" baseline="0">
                    <a:latin typeface="Arial"/>
                    <a:ea typeface="Arial"/>
                    <a:cs typeface="Arial"/>
                  </a:rPr>
                  <a:t>Negatieve bijdragen aan Milieuverdienste</a:t>
                </a:r>
              </a:p>
            </c:rich>
          </c:tx>
          <c:layout>
            <c:manualLayout>
              <c:xMode val="factor"/>
              <c:yMode val="factor"/>
              <c:x val="-0.001"/>
              <c:y val="-0.007"/>
            </c:manualLayout>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5726676"/>
        <c:crossesAt val="1"/>
        <c:crossBetween val="between"/>
        <c:dispUnits/>
      </c:valAx>
      <c:spPr>
        <a:noFill/>
        <a:ln w="12700">
          <a:solidFill>
            <a:srgbClr val="808080"/>
          </a:solidFill>
        </a:ln>
      </c:spPr>
    </c:plotArea>
    <c:legend>
      <c:legendPos val="r"/>
      <c:layout>
        <c:manualLayout>
          <c:xMode val="edge"/>
          <c:yMode val="edge"/>
          <c:x val="0.765"/>
          <c:y val="0.2195"/>
          <c:w val="0.231"/>
          <c:h val="0.419"/>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325"/>
          <c:w val="0.7225"/>
          <c:h val="0.93775"/>
        </c:manualLayout>
      </c:layout>
      <c:barChart>
        <c:barDir val="col"/>
        <c:grouping val="stacked"/>
        <c:varyColors val="0"/>
        <c:ser>
          <c:idx val="2"/>
          <c:order val="0"/>
          <c:tx>
            <c:strRef>
              <c:f>Result!$A$40</c:f>
              <c:strCache>
                <c:ptCount val="1"/>
                <c:pt idx="0">
                  <c:v>M2 grondwaterkwaliteit</c:v>
                </c:pt>
              </c:strCache>
            </c:strRef>
          </c:tx>
          <c:spPr>
            <a:solidFill>
              <a:srgbClr val="0000FF"/>
            </a:solidFill>
          </c:spPr>
          <c:invertIfNegative val="0"/>
          <c:extLst>
            <c:ext xmlns:c14="http://schemas.microsoft.com/office/drawing/2007/8/2/chart" uri="{6F2FDCE9-48DA-4B69-8628-5D25D57E5C99}">
              <c14:invertSolidFillFmt>
                <c14:spPr>
                  <a:solidFill>
                    <a:srgbClr val="FF0000"/>
                  </a:solidFill>
                </c14:spPr>
              </c14:invertSolidFillFmt>
            </c:ext>
          </c:extLst>
          <c:cat>
            <c:strRef>
              <c:f>Result!$B$38:$K$38</c:f>
              <c:strCache/>
            </c:strRef>
          </c:cat>
          <c:val>
            <c:numRef>
              <c:f>Result!$B$40:$K$40</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Result!$A$39</c:f>
              <c:strCache>
                <c:ptCount val="1"/>
                <c:pt idx="0">
                  <c:v>M1 grondkwaliteit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Result!$B$38:$K$38</c:f>
              <c:strCache/>
            </c:strRef>
          </c:cat>
          <c:val>
            <c:numRef>
              <c:f>Result!$B$39:$K$39</c:f>
              <c:numCache>
                <c:ptCount val="10"/>
                <c:pt idx="0">
                  <c:v>0</c:v>
                </c:pt>
                <c:pt idx="1">
                  <c:v>0</c:v>
                </c:pt>
                <c:pt idx="2">
                  <c:v>0</c:v>
                </c:pt>
                <c:pt idx="3">
                  <c:v>0</c:v>
                </c:pt>
                <c:pt idx="4">
                  <c:v>0</c:v>
                </c:pt>
                <c:pt idx="5">
                  <c:v>0</c:v>
                </c:pt>
                <c:pt idx="6">
                  <c:v>0</c:v>
                </c:pt>
                <c:pt idx="7">
                  <c:v>0</c:v>
                </c:pt>
                <c:pt idx="8">
                  <c:v>0</c:v>
                </c:pt>
                <c:pt idx="9">
                  <c:v>0</c:v>
                </c:pt>
              </c:numCache>
            </c:numRef>
          </c:val>
        </c:ser>
        <c:overlap val="100"/>
        <c:gapWidth val="40"/>
        <c:axId val="17566878"/>
        <c:axId val="23884175"/>
      </c:barChart>
      <c:catAx>
        <c:axId val="17566878"/>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3884175"/>
        <c:crosses val="autoZero"/>
        <c:auto val="1"/>
        <c:lblOffset val="100"/>
        <c:noMultiLvlLbl val="0"/>
      </c:catAx>
      <c:valAx>
        <c:axId val="23884175"/>
        <c:scaling>
          <c:orientation val="minMax"/>
        </c:scaling>
        <c:axPos val="l"/>
        <c:title>
          <c:tx>
            <c:rich>
              <a:bodyPr vert="horz" rot="-5400000" anchor="ctr"/>
              <a:lstStyle/>
              <a:p>
                <a:pPr algn="ctr">
                  <a:defRPr/>
                </a:pPr>
                <a:r>
                  <a:rPr lang="en-US" cap="none" sz="1000" b="1" i="0" u="none" baseline="0">
                    <a:latin typeface="Arial"/>
                    <a:ea typeface="Arial"/>
                    <a:cs typeface="Arial"/>
                  </a:rPr>
                  <a:t>Positieve bijdragen aan Milieuverdienste</a:t>
                </a:r>
              </a:p>
            </c:rich>
          </c:tx>
          <c:layout>
            <c:manualLayout>
              <c:xMode val="factor"/>
              <c:yMode val="factor"/>
              <c:x val="-0.001"/>
              <c:y val="-0.007"/>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566878"/>
        <c:crossesAt val="1"/>
        <c:crossBetween val="between"/>
        <c:dispUnits/>
      </c:valAx>
      <c:spPr>
        <a:noFill/>
        <a:ln w="12700">
          <a:solidFill>
            <a:srgbClr val="808080"/>
          </a:solidFill>
        </a:ln>
      </c:spPr>
    </c:plotArea>
    <c:legend>
      <c:legendPos val="r"/>
      <c:layout>
        <c:manualLayout>
          <c:xMode val="edge"/>
          <c:yMode val="edge"/>
          <c:x val="0.769"/>
          <c:y val="0.354"/>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31"/>
          <c:w val="0.72975"/>
          <c:h val="0.938"/>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'Result A'!$B$38:$I$38</c:f>
              <c:strCache/>
            </c:strRef>
          </c:cat>
          <c:val>
            <c:numRef>
              <c:f>'Result A'!$B$48:$I$48</c:f>
              <c:numCache>
                <c:ptCount val="8"/>
                <c:pt idx="0">
                  <c:v>0</c:v>
                </c:pt>
                <c:pt idx="1">
                  <c:v>0</c:v>
                </c:pt>
                <c:pt idx="2">
                  <c:v>0</c:v>
                </c:pt>
                <c:pt idx="3">
                  <c:v>0</c:v>
                </c:pt>
                <c:pt idx="4">
                  <c:v>0</c:v>
                </c:pt>
                <c:pt idx="5">
                  <c:v>0</c:v>
                </c:pt>
                <c:pt idx="6">
                  <c:v>0</c:v>
                </c:pt>
                <c:pt idx="7">
                  <c:v>0</c:v>
                </c:pt>
              </c:numCache>
            </c:numRef>
          </c:val>
        </c:ser>
        <c:gapWidth val="80"/>
        <c:axId val="13630984"/>
        <c:axId val="55569993"/>
      </c:barChart>
      <c:lineChart>
        <c:grouping val="standard"/>
        <c:varyColors val="0"/>
        <c:ser>
          <c:idx val="1"/>
          <c:order val="2"/>
          <c:tx>
            <c:v>Stand. MF</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'Result A'!$B$38:$H$38</c:f>
              <c:strCache/>
            </c:strRef>
          </c:cat>
          <c:val>
            <c:numRef>
              <c:f>'Result A'!$B$50:$I$50</c:f>
              <c:numCache/>
            </c:numRef>
          </c:val>
          <c:smooth val="0"/>
        </c:ser>
        <c:axId val="30367890"/>
        <c:axId val="4875555"/>
      </c:lineChart>
      <c:lineChart>
        <c:grouping val="standard"/>
        <c:varyColors val="0"/>
        <c:ser>
          <c:idx val="2"/>
          <c:order val="1"/>
          <c:tx>
            <c:v>Th. Max.</c:v>
          </c:tx>
          <c:spPr>
            <a:ln w="25400">
              <a:solidFill>
                <a:srgbClr val="3399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'Result A'!$B$38:$I$38</c:f>
              <c:strCache/>
            </c:strRef>
          </c:cat>
          <c:val>
            <c:numRef>
              <c:f>'Result A'!$B$49:$I$49</c:f>
              <c:numCache/>
            </c:numRef>
          </c:val>
          <c:smooth val="0"/>
        </c:ser>
        <c:axId val="13630984"/>
        <c:axId val="55569993"/>
      </c:lineChart>
      <c:catAx>
        <c:axId val="13630984"/>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5569993"/>
        <c:crosses val="autoZero"/>
        <c:auto val="0"/>
        <c:lblOffset val="100"/>
        <c:noMultiLvlLbl val="0"/>
      </c:catAx>
      <c:valAx>
        <c:axId val="55569993"/>
        <c:scaling>
          <c:orientation val="minMax"/>
        </c:scaling>
        <c:axPos val="l"/>
        <c:title>
          <c:tx>
            <c:rich>
              <a:bodyPr vert="horz" rot="-5400000" anchor="ctr"/>
              <a:lstStyle/>
              <a:p>
                <a:pPr algn="ctr">
                  <a:defRPr/>
                </a:pPr>
                <a:r>
                  <a:rPr lang="en-US" cap="none" sz="1000" b="1" i="0" u="none" baseline="0">
                    <a:latin typeface="Arial"/>
                    <a:ea typeface="Arial"/>
                    <a:cs typeface="Arial"/>
                  </a:rPr>
                  <a:t>Milieuverdienste-index</a:t>
                </a:r>
              </a:p>
            </c:rich>
          </c:tx>
          <c:layout/>
          <c:overlay val="0"/>
          <c:spPr>
            <a:noFill/>
            <a:ln>
              <a:noFill/>
            </a:ln>
          </c:spPr>
        </c:title>
        <c:delete val="0"/>
        <c:numFmt formatCode="General" sourceLinked="1"/>
        <c:majorTickMark val="out"/>
        <c:minorTickMark val="none"/>
        <c:tickLblPos val="nextTo"/>
        <c:crossAx val="13630984"/>
        <c:crossesAt val="1"/>
        <c:crossBetween val="between"/>
        <c:dispUnits/>
      </c:valAx>
      <c:catAx>
        <c:axId val="30367890"/>
        <c:scaling>
          <c:orientation val="minMax"/>
        </c:scaling>
        <c:axPos val="b"/>
        <c:delete val="1"/>
        <c:majorTickMark val="in"/>
        <c:minorTickMark val="none"/>
        <c:tickLblPos val="nextTo"/>
        <c:crossAx val="4875555"/>
        <c:crosses val="autoZero"/>
        <c:auto val="0"/>
        <c:lblOffset val="100"/>
        <c:noMultiLvlLbl val="0"/>
      </c:catAx>
      <c:valAx>
        <c:axId val="4875555"/>
        <c:scaling>
          <c:orientation val="minMax"/>
        </c:scaling>
        <c:axPos val="l"/>
        <c:delete val="1"/>
        <c:majorTickMark val="in"/>
        <c:minorTickMark val="none"/>
        <c:tickLblPos val="nextTo"/>
        <c:crossAx val="30367890"/>
        <c:crossesAt val="1"/>
        <c:crossBetween val="between"/>
        <c:dispUnits/>
      </c:valAx>
      <c:spPr>
        <a:solidFill>
          <a:srgbClr val="FFFFFF"/>
        </a:solidFill>
        <a:ln w="12700">
          <a:solidFill>
            <a:srgbClr val="808080"/>
          </a:solidFill>
        </a:ln>
      </c:spPr>
    </c:plotArea>
    <c:legend>
      <c:legendPos val="r"/>
      <c:legendEntry>
        <c:idx val="0"/>
        <c:delete val="1"/>
      </c:legendEntry>
      <c:layout>
        <c:manualLayout>
          <c:xMode val="edge"/>
          <c:yMode val="edge"/>
          <c:x val="0.8205"/>
          <c:y val="0.32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http://www.bouwweb.nl/CUR/NOBIS/" TargetMode="External" /><Relationship Id="rId3" Type="http://schemas.openxmlformats.org/officeDocument/2006/relationships/hyperlink" Target="http://www.bouwweb.nl/CUR/NOBIS/" TargetMode="External" /><Relationship Id="rId4" Type="http://schemas.openxmlformats.org/officeDocument/2006/relationships/image" Target="../media/image2.emf" /><Relationship Id="rId5" Type="http://schemas.openxmlformats.org/officeDocument/2006/relationships/hyperlink" Target="http://www.berenschot.nl/" TargetMode="External" /><Relationship Id="rId6" Type="http://schemas.openxmlformats.org/officeDocument/2006/relationships/hyperlink" Target="http://www.berenschot.nl/" TargetMode="External" /><Relationship Id="rId7" Type="http://schemas.openxmlformats.org/officeDocument/2006/relationships/image" Target="../media/image3.emf" /><Relationship Id="rId8" Type="http://schemas.openxmlformats.org/officeDocument/2006/relationships/hyperlink" Target="http://www.tno.nl/wie_we_zijn/organisatie/mep/index.html" TargetMode="External" /><Relationship Id="rId9" Type="http://schemas.openxmlformats.org/officeDocument/2006/relationships/hyperlink" Target="http://www.tno.nl/wie_we_zijn/organisatie/mep/index.html" TargetMode="External" /><Relationship Id="rId10" Type="http://schemas.openxmlformats.org/officeDocument/2006/relationships/image" Target="../media/image4.emf" /><Relationship Id="rId11" Type="http://schemas.openxmlformats.org/officeDocument/2006/relationships/hyperlink" Target="http://www.tauw.nl/" TargetMode="External" /><Relationship Id="rId12" Type="http://schemas.openxmlformats.org/officeDocument/2006/relationships/hyperlink" Target="http://www.tauw.nl/" TargetMode="External" /><Relationship Id="rId13" Type="http://schemas.openxmlformats.org/officeDocument/2006/relationships/image" Target="../media/image5.emf" /><Relationship Id="rId14" Type="http://schemas.openxmlformats.org/officeDocument/2006/relationships/hyperlink" Target="..\ivm" TargetMode="External" /><Relationship Id="rId15" Type="http://schemas.openxmlformats.org/officeDocument/2006/relationships/hyperlink" Target="..\iv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image" Target="../media/image7.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20</xdr:row>
      <xdr:rowOff>28575</xdr:rowOff>
    </xdr:from>
    <xdr:to>
      <xdr:col>0</xdr:col>
      <xdr:colOff>971550</xdr:colOff>
      <xdr:row>24</xdr:row>
      <xdr:rowOff>133350</xdr:rowOff>
    </xdr:to>
    <xdr:pic>
      <xdr:nvPicPr>
        <xdr:cNvPr id="1" name="Picture 20">
          <a:hlinkClick r:id="rId3"/>
        </xdr:cNvPr>
        <xdr:cNvPicPr preferRelativeResize="1">
          <a:picLocks noChangeAspect="1"/>
        </xdr:cNvPicPr>
      </xdr:nvPicPr>
      <xdr:blipFill>
        <a:blip r:embed="rId1"/>
        <a:stretch>
          <a:fillRect/>
        </a:stretch>
      </xdr:blipFill>
      <xdr:spPr>
        <a:xfrm>
          <a:off x="257175" y="3448050"/>
          <a:ext cx="714375" cy="752475"/>
        </a:xfrm>
        <a:prstGeom prst="rect">
          <a:avLst/>
        </a:prstGeom>
        <a:noFill/>
        <a:ln w="1" cmpd="sng">
          <a:noFill/>
        </a:ln>
      </xdr:spPr>
    </xdr:pic>
    <xdr:clientData/>
  </xdr:twoCellAnchor>
  <xdr:twoCellAnchor editAs="oneCell">
    <xdr:from>
      <xdr:col>1</xdr:col>
      <xdr:colOff>47625</xdr:colOff>
      <xdr:row>20</xdr:row>
      <xdr:rowOff>47625</xdr:rowOff>
    </xdr:from>
    <xdr:to>
      <xdr:col>1</xdr:col>
      <xdr:colOff>600075</xdr:colOff>
      <xdr:row>24</xdr:row>
      <xdr:rowOff>133350</xdr:rowOff>
    </xdr:to>
    <xdr:pic>
      <xdr:nvPicPr>
        <xdr:cNvPr id="2" name="Picture 21">
          <a:hlinkClick r:id="rId6"/>
        </xdr:cNvPr>
        <xdr:cNvPicPr preferRelativeResize="1">
          <a:picLocks noChangeAspect="1"/>
        </xdr:cNvPicPr>
      </xdr:nvPicPr>
      <xdr:blipFill>
        <a:blip r:embed="rId4"/>
        <a:stretch>
          <a:fillRect/>
        </a:stretch>
      </xdr:blipFill>
      <xdr:spPr>
        <a:xfrm>
          <a:off x="1143000" y="3467100"/>
          <a:ext cx="542925" cy="733425"/>
        </a:xfrm>
        <a:prstGeom prst="rect">
          <a:avLst/>
        </a:prstGeom>
        <a:solidFill>
          <a:srgbClr val="FFFFFF"/>
        </a:solidFill>
        <a:ln w="1" cmpd="sng">
          <a:noFill/>
        </a:ln>
      </xdr:spPr>
    </xdr:pic>
    <xdr:clientData/>
  </xdr:twoCellAnchor>
  <xdr:twoCellAnchor editAs="oneCell">
    <xdr:from>
      <xdr:col>4</xdr:col>
      <xdr:colOff>1209675</xdr:colOff>
      <xdr:row>20</xdr:row>
      <xdr:rowOff>66675</xdr:rowOff>
    </xdr:from>
    <xdr:to>
      <xdr:col>6</xdr:col>
      <xdr:colOff>200025</xdr:colOff>
      <xdr:row>24</xdr:row>
      <xdr:rowOff>152400</xdr:rowOff>
    </xdr:to>
    <xdr:pic>
      <xdr:nvPicPr>
        <xdr:cNvPr id="3" name="Picture 22">
          <a:hlinkClick r:id="rId9"/>
        </xdr:cNvPr>
        <xdr:cNvPicPr preferRelativeResize="1">
          <a:picLocks noChangeAspect="1"/>
        </xdr:cNvPicPr>
      </xdr:nvPicPr>
      <xdr:blipFill>
        <a:blip r:embed="rId7"/>
        <a:stretch>
          <a:fillRect/>
        </a:stretch>
      </xdr:blipFill>
      <xdr:spPr>
        <a:xfrm>
          <a:off x="3886200" y="3486150"/>
          <a:ext cx="1019175" cy="733425"/>
        </a:xfrm>
        <a:prstGeom prst="rect">
          <a:avLst/>
        </a:prstGeom>
        <a:solidFill>
          <a:srgbClr val="FFFFFF"/>
        </a:solidFill>
        <a:ln w="1" cmpd="sng">
          <a:noFill/>
        </a:ln>
      </xdr:spPr>
    </xdr:pic>
    <xdr:clientData/>
  </xdr:twoCellAnchor>
  <xdr:twoCellAnchor editAs="oneCell">
    <xdr:from>
      <xdr:col>4</xdr:col>
      <xdr:colOff>323850</xdr:colOff>
      <xdr:row>20</xdr:row>
      <xdr:rowOff>57150</xdr:rowOff>
    </xdr:from>
    <xdr:to>
      <xdr:col>4</xdr:col>
      <xdr:colOff>1114425</xdr:colOff>
      <xdr:row>24</xdr:row>
      <xdr:rowOff>142875</xdr:rowOff>
    </xdr:to>
    <xdr:pic>
      <xdr:nvPicPr>
        <xdr:cNvPr id="4" name="Picture 23">
          <a:hlinkClick r:id="rId12"/>
        </xdr:cNvPr>
        <xdr:cNvPicPr preferRelativeResize="1">
          <a:picLocks noChangeAspect="1"/>
        </xdr:cNvPicPr>
      </xdr:nvPicPr>
      <xdr:blipFill>
        <a:blip r:embed="rId10"/>
        <a:stretch>
          <a:fillRect/>
        </a:stretch>
      </xdr:blipFill>
      <xdr:spPr>
        <a:xfrm>
          <a:off x="3000375" y="3476625"/>
          <a:ext cx="790575" cy="733425"/>
        </a:xfrm>
        <a:prstGeom prst="rect">
          <a:avLst/>
        </a:prstGeom>
        <a:solidFill>
          <a:srgbClr val="FFFFFF"/>
        </a:solidFill>
        <a:ln w="1" cmpd="sng">
          <a:noFill/>
        </a:ln>
      </xdr:spPr>
    </xdr:pic>
    <xdr:clientData/>
  </xdr:twoCellAnchor>
  <xdr:twoCellAnchor editAs="oneCell">
    <xdr:from>
      <xdr:col>1</xdr:col>
      <xdr:colOff>752475</xdr:colOff>
      <xdr:row>20</xdr:row>
      <xdr:rowOff>38100</xdr:rowOff>
    </xdr:from>
    <xdr:to>
      <xdr:col>4</xdr:col>
      <xdr:colOff>276225</xdr:colOff>
      <xdr:row>24</xdr:row>
      <xdr:rowOff>133350</xdr:rowOff>
    </xdr:to>
    <xdr:pic>
      <xdr:nvPicPr>
        <xdr:cNvPr id="5" name="Picture 24">
          <a:hlinkClick r:id="rId15"/>
        </xdr:cNvPr>
        <xdr:cNvPicPr preferRelativeResize="1">
          <a:picLocks noChangeAspect="1"/>
        </xdr:cNvPicPr>
      </xdr:nvPicPr>
      <xdr:blipFill>
        <a:blip r:embed="rId13"/>
        <a:stretch>
          <a:fillRect/>
        </a:stretch>
      </xdr:blipFill>
      <xdr:spPr>
        <a:xfrm>
          <a:off x="1847850" y="3457575"/>
          <a:ext cx="1104900" cy="742950"/>
        </a:xfrm>
        <a:prstGeom prst="rect">
          <a:avLst/>
        </a:prstGeom>
        <a:solidFill>
          <a:srgbClr val="FFFFFF"/>
        </a:solidFill>
        <a:ln w="1" cmpd="sng">
          <a:noFill/>
        </a:ln>
      </xdr:spPr>
    </xdr:pic>
    <xdr:clientData/>
  </xdr:twoCellAnchor>
  <xdr:twoCellAnchor>
    <xdr:from>
      <xdr:col>0</xdr:col>
      <xdr:colOff>1057275</xdr:colOff>
      <xdr:row>12</xdr:row>
      <xdr:rowOff>104775</xdr:rowOff>
    </xdr:from>
    <xdr:to>
      <xdr:col>1</xdr:col>
      <xdr:colOff>314325</xdr:colOff>
      <xdr:row>12</xdr:row>
      <xdr:rowOff>104775</xdr:rowOff>
    </xdr:to>
    <xdr:sp>
      <xdr:nvSpPr>
        <xdr:cNvPr id="6" name="Line 39"/>
        <xdr:cNvSpPr>
          <a:spLocks/>
        </xdr:cNvSpPr>
      </xdr:nvSpPr>
      <xdr:spPr>
        <a:xfrm>
          <a:off x="1057275" y="2181225"/>
          <a:ext cx="3524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9</xdr:row>
      <xdr:rowOff>114300</xdr:rowOff>
    </xdr:from>
    <xdr:to>
      <xdr:col>6</xdr:col>
      <xdr:colOff>581025</xdr:colOff>
      <xdr:row>12</xdr:row>
      <xdr:rowOff>95250</xdr:rowOff>
    </xdr:to>
    <xdr:sp>
      <xdr:nvSpPr>
        <xdr:cNvPr id="7" name="Line 48"/>
        <xdr:cNvSpPr>
          <a:spLocks/>
        </xdr:cNvSpPr>
      </xdr:nvSpPr>
      <xdr:spPr>
        <a:xfrm flipV="1">
          <a:off x="4819650" y="1704975"/>
          <a:ext cx="476250" cy="4667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12</xdr:row>
      <xdr:rowOff>9525</xdr:rowOff>
    </xdr:from>
    <xdr:to>
      <xdr:col>6</xdr:col>
      <xdr:colOff>571500</xdr:colOff>
      <xdr:row>12</xdr:row>
      <xdr:rowOff>95250</xdr:rowOff>
    </xdr:to>
    <xdr:sp>
      <xdr:nvSpPr>
        <xdr:cNvPr id="8" name="Line 49"/>
        <xdr:cNvSpPr>
          <a:spLocks/>
        </xdr:cNvSpPr>
      </xdr:nvSpPr>
      <xdr:spPr>
        <a:xfrm flipV="1">
          <a:off x="4810125" y="2085975"/>
          <a:ext cx="466725" cy="857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12</xdr:row>
      <xdr:rowOff>104775</xdr:rowOff>
    </xdr:from>
    <xdr:to>
      <xdr:col>6</xdr:col>
      <xdr:colOff>571500</xdr:colOff>
      <xdr:row>14</xdr:row>
      <xdr:rowOff>57150</xdr:rowOff>
    </xdr:to>
    <xdr:sp>
      <xdr:nvSpPr>
        <xdr:cNvPr id="9" name="Line 50"/>
        <xdr:cNvSpPr>
          <a:spLocks/>
        </xdr:cNvSpPr>
      </xdr:nvSpPr>
      <xdr:spPr>
        <a:xfrm>
          <a:off x="4819650" y="2181225"/>
          <a:ext cx="447675" cy="2762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9</xdr:row>
      <xdr:rowOff>85725</xdr:rowOff>
    </xdr:from>
    <xdr:to>
      <xdr:col>3</xdr:col>
      <xdr:colOff>200025</xdr:colOff>
      <xdr:row>12</xdr:row>
      <xdr:rowOff>104775</xdr:rowOff>
    </xdr:to>
    <xdr:sp>
      <xdr:nvSpPr>
        <xdr:cNvPr id="10" name="Line 51"/>
        <xdr:cNvSpPr>
          <a:spLocks/>
        </xdr:cNvSpPr>
      </xdr:nvSpPr>
      <xdr:spPr>
        <a:xfrm flipV="1">
          <a:off x="2124075" y="1676400"/>
          <a:ext cx="523875" cy="504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10</xdr:row>
      <xdr:rowOff>95250</xdr:rowOff>
    </xdr:from>
    <xdr:to>
      <xdr:col>3</xdr:col>
      <xdr:colOff>200025</xdr:colOff>
      <xdr:row>12</xdr:row>
      <xdr:rowOff>104775</xdr:rowOff>
    </xdr:to>
    <xdr:sp>
      <xdr:nvSpPr>
        <xdr:cNvPr id="11" name="Line 52"/>
        <xdr:cNvSpPr>
          <a:spLocks/>
        </xdr:cNvSpPr>
      </xdr:nvSpPr>
      <xdr:spPr>
        <a:xfrm flipV="1">
          <a:off x="2124075" y="1847850"/>
          <a:ext cx="523875" cy="333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11</xdr:row>
      <xdr:rowOff>95250</xdr:rowOff>
    </xdr:from>
    <xdr:to>
      <xdr:col>3</xdr:col>
      <xdr:colOff>209550</xdr:colOff>
      <xdr:row>12</xdr:row>
      <xdr:rowOff>104775</xdr:rowOff>
    </xdr:to>
    <xdr:sp>
      <xdr:nvSpPr>
        <xdr:cNvPr id="12" name="Line 53"/>
        <xdr:cNvSpPr>
          <a:spLocks/>
        </xdr:cNvSpPr>
      </xdr:nvSpPr>
      <xdr:spPr>
        <a:xfrm flipV="1">
          <a:off x="2133600" y="2009775"/>
          <a:ext cx="523875" cy="171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12</xdr:row>
      <xdr:rowOff>85725</xdr:rowOff>
    </xdr:from>
    <xdr:to>
      <xdr:col>3</xdr:col>
      <xdr:colOff>209550</xdr:colOff>
      <xdr:row>12</xdr:row>
      <xdr:rowOff>104775</xdr:rowOff>
    </xdr:to>
    <xdr:sp>
      <xdr:nvSpPr>
        <xdr:cNvPr id="13" name="Line 54"/>
        <xdr:cNvSpPr>
          <a:spLocks/>
        </xdr:cNvSpPr>
      </xdr:nvSpPr>
      <xdr:spPr>
        <a:xfrm flipV="1">
          <a:off x="2143125" y="2162175"/>
          <a:ext cx="514350" cy="190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12</xdr:row>
      <xdr:rowOff>104775</xdr:rowOff>
    </xdr:from>
    <xdr:to>
      <xdr:col>3</xdr:col>
      <xdr:colOff>209550</xdr:colOff>
      <xdr:row>13</xdr:row>
      <xdr:rowOff>85725</xdr:rowOff>
    </xdr:to>
    <xdr:sp>
      <xdr:nvSpPr>
        <xdr:cNvPr id="14" name="Line 55"/>
        <xdr:cNvSpPr>
          <a:spLocks/>
        </xdr:cNvSpPr>
      </xdr:nvSpPr>
      <xdr:spPr>
        <a:xfrm>
          <a:off x="2133600" y="2181225"/>
          <a:ext cx="523875"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12</xdr:row>
      <xdr:rowOff>123825</xdr:rowOff>
    </xdr:from>
    <xdr:to>
      <xdr:col>3</xdr:col>
      <xdr:colOff>200025</xdr:colOff>
      <xdr:row>14</xdr:row>
      <xdr:rowOff>95250</xdr:rowOff>
    </xdr:to>
    <xdr:sp>
      <xdr:nvSpPr>
        <xdr:cNvPr id="15" name="Line 56"/>
        <xdr:cNvSpPr>
          <a:spLocks/>
        </xdr:cNvSpPr>
      </xdr:nvSpPr>
      <xdr:spPr>
        <a:xfrm>
          <a:off x="2133600" y="2200275"/>
          <a:ext cx="514350" cy="2952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12</xdr:row>
      <xdr:rowOff>114300</xdr:rowOff>
    </xdr:from>
    <xdr:to>
      <xdr:col>3</xdr:col>
      <xdr:colOff>209550</xdr:colOff>
      <xdr:row>15</xdr:row>
      <xdr:rowOff>85725</xdr:rowOff>
    </xdr:to>
    <xdr:sp>
      <xdr:nvSpPr>
        <xdr:cNvPr id="16" name="Line 57"/>
        <xdr:cNvSpPr>
          <a:spLocks/>
        </xdr:cNvSpPr>
      </xdr:nvSpPr>
      <xdr:spPr>
        <a:xfrm>
          <a:off x="2133600" y="2190750"/>
          <a:ext cx="523875" cy="4572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12</xdr:row>
      <xdr:rowOff>123825</xdr:rowOff>
    </xdr:from>
    <xdr:to>
      <xdr:col>3</xdr:col>
      <xdr:colOff>219075</xdr:colOff>
      <xdr:row>16</xdr:row>
      <xdr:rowOff>85725</xdr:rowOff>
    </xdr:to>
    <xdr:sp>
      <xdr:nvSpPr>
        <xdr:cNvPr id="17" name="Line 58"/>
        <xdr:cNvSpPr>
          <a:spLocks/>
        </xdr:cNvSpPr>
      </xdr:nvSpPr>
      <xdr:spPr>
        <a:xfrm>
          <a:off x="2124075" y="2200275"/>
          <a:ext cx="542925" cy="6096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12</xdr:row>
      <xdr:rowOff>95250</xdr:rowOff>
    </xdr:from>
    <xdr:to>
      <xdr:col>7</xdr:col>
      <xdr:colOff>9525</xdr:colOff>
      <xdr:row>17</xdr:row>
      <xdr:rowOff>0</xdr:rowOff>
    </xdr:to>
    <xdr:sp>
      <xdr:nvSpPr>
        <xdr:cNvPr id="18" name="Line 68"/>
        <xdr:cNvSpPr>
          <a:spLocks/>
        </xdr:cNvSpPr>
      </xdr:nvSpPr>
      <xdr:spPr>
        <a:xfrm>
          <a:off x="4810125" y="2171700"/>
          <a:ext cx="495300" cy="7143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1</xdr:row>
      <xdr:rowOff>114300</xdr:rowOff>
    </xdr:from>
    <xdr:to>
      <xdr:col>16</xdr:col>
      <xdr:colOff>571500</xdr:colOff>
      <xdr:row>16</xdr:row>
      <xdr:rowOff>9525</xdr:rowOff>
    </xdr:to>
    <xdr:graphicFrame>
      <xdr:nvGraphicFramePr>
        <xdr:cNvPr id="1" name="Chart 16"/>
        <xdr:cNvGraphicFramePr/>
      </xdr:nvGraphicFramePr>
      <xdr:xfrm>
        <a:off x="6896100" y="314325"/>
        <a:ext cx="3990975" cy="2514600"/>
      </xdr:xfrm>
      <a:graphic>
        <a:graphicData uri="http://schemas.openxmlformats.org/drawingml/2006/chart">
          <c:chart xmlns:c="http://schemas.openxmlformats.org/drawingml/2006/chart" r:id="rId1"/>
        </a:graphicData>
      </a:graphic>
    </xdr:graphicFrame>
    <xdr:clientData/>
  </xdr:twoCellAnchor>
  <xdr:twoCellAnchor>
    <xdr:from>
      <xdr:col>10</xdr:col>
      <xdr:colOff>152400</xdr:colOff>
      <xdr:row>17</xdr:row>
      <xdr:rowOff>114300</xdr:rowOff>
    </xdr:from>
    <xdr:to>
      <xdr:col>17</xdr:col>
      <xdr:colOff>38100</xdr:colOff>
      <xdr:row>33</xdr:row>
      <xdr:rowOff>76200</xdr:rowOff>
    </xdr:to>
    <xdr:graphicFrame>
      <xdr:nvGraphicFramePr>
        <xdr:cNvPr id="2" name="Chart 17"/>
        <xdr:cNvGraphicFramePr/>
      </xdr:nvGraphicFramePr>
      <xdr:xfrm>
        <a:off x="6924675" y="3095625"/>
        <a:ext cx="4019550" cy="25527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0.672</cdr:x>
      <cdr:y>0.11125</cdr:y>
    </cdr:from>
    <cdr:to>
      <cdr:x>0.80225</cdr:x>
      <cdr:y>0.16825</cdr:y>
    </cdr:to>
    <cdr:sp>
      <cdr:nvSpPr>
        <cdr:cNvPr id="1" name="TextBox 5"/>
        <cdr:cNvSpPr txBox="1">
          <a:spLocks noChangeArrowheads="1"/>
        </cdr:cNvSpPr>
      </cdr:nvSpPr>
      <cdr:spPr>
        <a:xfrm>
          <a:off x="3733800" y="381000"/>
          <a:ext cx="723900" cy="200025"/>
        </a:xfrm>
        <a:prstGeom prst="rect">
          <a:avLst/>
        </a:prstGeom>
        <a:noFill/>
        <a:ln w="9525" cmpd="sng">
          <a:noFill/>
        </a:ln>
      </cdr:spPr>
      <cdr:txBody>
        <a:bodyPr vertOverflow="clip" wrap="square">
          <a:spAutoFit/>
        </a:bodyPr>
        <a:p>
          <a:pPr algn="l">
            <a:defRPr/>
          </a:pPr>
          <a:r>
            <a:rPr lang="en-US" cap="none" sz="1025" b="0" i="0" u="none" baseline="0">
              <a:latin typeface="Arial"/>
              <a:ea typeface="Arial"/>
              <a:cs typeface="Arial"/>
            </a:rPr>
            <a:t>scoort beter</a:t>
          </a:r>
        </a:p>
      </cdr:txBody>
    </cdr:sp>
  </cdr:relSizeAnchor>
  <cdr:relSizeAnchor xmlns:cdr="http://schemas.openxmlformats.org/drawingml/2006/chartDrawing">
    <cdr:from>
      <cdr:x>0.1595</cdr:x>
      <cdr:y>0.11125</cdr:y>
    </cdr:from>
    <cdr:to>
      <cdr:x>0.31875</cdr:x>
      <cdr:y>0.16825</cdr:y>
    </cdr:to>
    <cdr:sp>
      <cdr:nvSpPr>
        <cdr:cNvPr id="2" name="TextBox 6"/>
        <cdr:cNvSpPr txBox="1">
          <a:spLocks noChangeArrowheads="1"/>
        </cdr:cNvSpPr>
      </cdr:nvSpPr>
      <cdr:spPr>
        <a:xfrm>
          <a:off x="885825" y="381000"/>
          <a:ext cx="885825" cy="200025"/>
        </a:xfrm>
        <a:prstGeom prst="rect">
          <a:avLst/>
        </a:prstGeom>
        <a:noFill/>
        <a:ln w="9525" cmpd="sng">
          <a:noFill/>
        </a:ln>
      </cdr:spPr>
      <cdr:txBody>
        <a:bodyPr vertOverflow="clip" wrap="square">
          <a:spAutoFit/>
        </a:bodyPr>
        <a:p>
          <a:pPr algn="l">
            <a:defRPr/>
          </a:pPr>
          <a:r>
            <a:rPr lang="en-US" cap="none" sz="1025" b="0" i="0" u="none" baseline="0">
              <a:latin typeface="Arial"/>
              <a:ea typeface="Arial"/>
              <a:cs typeface="Arial"/>
            </a:rPr>
            <a:t>scoort slechter</a:t>
          </a:r>
        </a:p>
      </cdr:txBody>
    </cdr:sp>
  </cdr:relSizeAnchor>
  <cdr:relSizeAnchor xmlns:cdr="http://schemas.openxmlformats.org/drawingml/2006/chartDrawing">
    <cdr:from>
      <cdr:x>0.188</cdr:x>
      <cdr:y>0.04975</cdr:y>
    </cdr:from>
    <cdr:to>
      <cdr:x>0.296</cdr:x>
      <cdr:y>0.11225</cdr:y>
    </cdr:to>
    <cdr:sp textlink="Vergelijking!$A$101">
      <cdr:nvSpPr>
        <cdr:cNvPr id="3" name="TextBox 7"/>
        <cdr:cNvSpPr txBox="1">
          <a:spLocks noChangeArrowheads="1"/>
        </cdr:cNvSpPr>
      </cdr:nvSpPr>
      <cdr:spPr>
        <a:xfrm>
          <a:off x="1038225" y="171450"/>
          <a:ext cx="600075" cy="219075"/>
        </a:xfrm>
        <a:prstGeom prst="rect">
          <a:avLst/>
        </a:prstGeom>
        <a:noFill/>
        <a:ln w="1" cmpd="sng">
          <a:noFill/>
        </a:ln>
      </cdr:spPr>
      <cdr:txBody>
        <a:bodyPr vertOverflow="clip" wrap="square" anchor="ctr">
          <a:spAutoFit/>
        </a:bodyPr>
        <a:p>
          <a:pPr algn="ctr">
            <a:defRPr/>
          </a:pPr>
          <a:fld id="{5be06eb9-403b-4460-a270-aef06a41a533}" type="TxLink">
            <a:rPr lang="en-US" cap="none" sz="1150" b="0" i="0" u="none" baseline="0">
              <a:solidFill>
                <a:srgbClr val="3333CC"/>
              </a:solidFill>
              <a:latin typeface="Arial"/>
              <a:ea typeface="Arial"/>
              <a:cs typeface="Arial"/>
            </a:rPr>
            <a:t>Variant I</a:t>
          </a:fld>
        </a:p>
      </cdr:txBody>
    </cdr:sp>
  </cdr:relSizeAnchor>
  <cdr:relSizeAnchor xmlns:cdr="http://schemas.openxmlformats.org/drawingml/2006/chartDrawing">
    <cdr:from>
      <cdr:x>0.41825</cdr:x>
      <cdr:y>0.0085</cdr:y>
    </cdr:from>
    <cdr:to>
      <cdr:x>0.53975</cdr:x>
      <cdr:y>0.071</cdr:y>
    </cdr:to>
    <cdr:sp textlink="Vergelijking!$A$100">
      <cdr:nvSpPr>
        <cdr:cNvPr id="4" name="TextBox 8"/>
        <cdr:cNvSpPr txBox="1">
          <a:spLocks noChangeArrowheads="1"/>
        </cdr:cNvSpPr>
      </cdr:nvSpPr>
      <cdr:spPr>
        <a:xfrm>
          <a:off x="2324100" y="28575"/>
          <a:ext cx="676275" cy="219075"/>
        </a:xfrm>
        <a:prstGeom prst="rect">
          <a:avLst/>
        </a:prstGeom>
        <a:solidFill>
          <a:srgbClr val="FFFFFF"/>
        </a:solidFill>
        <a:ln w="0" cmpd="sng">
          <a:noFill/>
        </a:ln>
      </cdr:spPr>
      <cdr:txBody>
        <a:bodyPr vertOverflow="clip" wrap="square" anchor="ctr">
          <a:spAutoFit/>
        </a:bodyPr>
        <a:p>
          <a:pPr algn="ctr">
            <a:defRPr/>
          </a:pPr>
          <a:fld id="{67ebce46-035a-49a6-8b80-96b1cd36984e}" type="TxLink">
            <a:rPr lang="en-US" cap="none" sz="1145" b="0" i="0" u="none" baseline="0">
              <a:solidFill>
                <a:srgbClr val="3333CC"/>
              </a:solidFill>
              <a:latin typeface="Arial"/>
              <a:ea typeface="Arial"/>
              <a:cs typeface="Arial"/>
            </a:rPr>
            <a:t>Nulvariant</a:t>
          </a:fld>
        </a:p>
      </cdr:txBody>
    </cdr:sp>
  </cdr:relSizeAnchor>
  <cdr:relSizeAnchor xmlns:cdr="http://schemas.openxmlformats.org/drawingml/2006/chartDrawing">
    <cdr:from>
      <cdr:x>0.673</cdr:x>
      <cdr:y>0.04975</cdr:y>
    </cdr:from>
    <cdr:to>
      <cdr:x>0.781</cdr:x>
      <cdr:y>0.11225</cdr:y>
    </cdr:to>
    <cdr:sp textlink="Vergelijking!$A$101">
      <cdr:nvSpPr>
        <cdr:cNvPr id="5" name="TextBox 9"/>
        <cdr:cNvSpPr txBox="1">
          <a:spLocks noChangeArrowheads="1"/>
        </cdr:cNvSpPr>
      </cdr:nvSpPr>
      <cdr:spPr>
        <a:xfrm>
          <a:off x="3743325" y="171450"/>
          <a:ext cx="600075" cy="219075"/>
        </a:xfrm>
        <a:prstGeom prst="rect">
          <a:avLst/>
        </a:prstGeom>
        <a:noFill/>
        <a:ln w="1" cmpd="sng">
          <a:noFill/>
        </a:ln>
      </cdr:spPr>
      <cdr:txBody>
        <a:bodyPr vertOverflow="clip" wrap="square" anchor="ctr">
          <a:spAutoFit/>
        </a:bodyPr>
        <a:p>
          <a:pPr algn="ctr">
            <a:defRPr/>
          </a:pPr>
          <a:fld id="{423d328b-2cfb-446a-82cd-2b868d52e633}" type="TxLink">
            <a:rPr lang="en-US" cap="none" sz="1150" b="0" i="0" u="none" baseline="0">
              <a:solidFill>
                <a:srgbClr val="3333CC"/>
              </a:solidFill>
              <a:latin typeface="Arial"/>
              <a:ea typeface="Arial"/>
              <a:cs typeface="Arial"/>
            </a:rPr>
            <a:t>Variant I</a:t>
          </a:fld>
        </a:p>
      </cdr:txBody>
    </cdr:sp>
  </cdr:relSizeAnchor>
  <cdr:relSizeAnchor xmlns:cdr="http://schemas.openxmlformats.org/drawingml/2006/chartDrawing">
    <cdr:from>
      <cdr:x>0.473</cdr:x>
      <cdr:y>0.071</cdr:y>
    </cdr:from>
    <cdr:to>
      <cdr:x>0.473</cdr:x>
      <cdr:y>0.18</cdr:y>
    </cdr:to>
    <cdr:sp>
      <cdr:nvSpPr>
        <cdr:cNvPr id="6" name="Line 10"/>
        <cdr:cNvSpPr>
          <a:spLocks/>
        </cdr:cNvSpPr>
      </cdr:nvSpPr>
      <cdr:spPr>
        <a:xfrm>
          <a:off x="2628900" y="247650"/>
          <a:ext cx="0"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0.35875</cdr:x>
      <cdr:y>0.04675</cdr:y>
    </cdr:from>
    <cdr:to>
      <cdr:x>0.489</cdr:x>
      <cdr:y>0.10575</cdr:y>
    </cdr:to>
    <cdr:sp>
      <cdr:nvSpPr>
        <cdr:cNvPr id="1" name="TextBox 1"/>
        <cdr:cNvSpPr txBox="1">
          <a:spLocks noChangeArrowheads="1"/>
        </cdr:cNvSpPr>
      </cdr:nvSpPr>
      <cdr:spPr>
        <a:xfrm>
          <a:off x="1619250" y="152400"/>
          <a:ext cx="5905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nulvariant</a:t>
          </a:r>
        </a:p>
      </cdr:txBody>
    </cdr:sp>
  </cdr:relSizeAnchor>
  <cdr:relSizeAnchor xmlns:cdr="http://schemas.openxmlformats.org/drawingml/2006/chartDrawing">
    <cdr:from>
      <cdr:x>0</cdr:x>
      <cdr:y>0.04625</cdr:y>
    </cdr:from>
    <cdr:to>
      <cdr:x>0.1785</cdr:x>
      <cdr:y>0.10525</cdr:y>
    </cdr:to>
    <cdr:sp>
      <cdr:nvSpPr>
        <cdr:cNvPr id="2" name="TextBox 2"/>
        <cdr:cNvSpPr txBox="1">
          <a:spLocks noChangeArrowheads="1"/>
        </cdr:cNvSpPr>
      </cdr:nvSpPr>
      <cdr:spPr>
        <a:xfrm>
          <a:off x="0" y="152400"/>
          <a:ext cx="8096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laagste score</a:t>
          </a:r>
        </a:p>
      </cdr:txBody>
    </cdr:sp>
  </cdr:relSizeAnchor>
  <cdr:relSizeAnchor xmlns:cdr="http://schemas.openxmlformats.org/drawingml/2006/chartDrawing">
    <cdr:from>
      <cdr:x>0.66025</cdr:x>
      <cdr:y>0.04625</cdr:y>
    </cdr:from>
    <cdr:to>
      <cdr:x>0.84725</cdr:x>
      <cdr:y>0.10525</cdr:y>
    </cdr:to>
    <cdr:sp>
      <cdr:nvSpPr>
        <cdr:cNvPr id="3" name="TextBox 3"/>
        <cdr:cNvSpPr txBox="1">
          <a:spLocks noChangeArrowheads="1"/>
        </cdr:cNvSpPr>
      </cdr:nvSpPr>
      <cdr:spPr>
        <a:xfrm>
          <a:off x="2990850" y="152400"/>
          <a:ext cx="8477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hoogste score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49</xdr:row>
      <xdr:rowOff>0</xdr:rowOff>
    </xdr:from>
    <xdr:to>
      <xdr:col>7</xdr:col>
      <xdr:colOff>47625</xdr:colOff>
      <xdr:row>70</xdr:row>
      <xdr:rowOff>104775</xdr:rowOff>
    </xdr:to>
    <xdr:graphicFrame>
      <xdr:nvGraphicFramePr>
        <xdr:cNvPr id="1" name="Chart 25"/>
        <xdr:cNvGraphicFramePr/>
      </xdr:nvGraphicFramePr>
      <xdr:xfrm>
        <a:off x="19050" y="9648825"/>
        <a:ext cx="5562600" cy="35052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73</xdr:row>
      <xdr:rowOff>28575</xdr:rowOff>
    </xdr:from>
    <xdr:to>
      <xdr:col>5</xdr:col>
      <xdr:colOff>38100</xdr:colOff>
      <xdr:row>94</xdr:row>
      <xdr:rowOff>19050</xdr:rowOff>
    </xdr:to>
    <xdr:graphicFrame>
      <xdr:nvGraphicFramePr>
        <xdr:cNvPr id="2" name="Chart 30"/>
        <xdr:cNvGraphicFramePr/>
      </xdr:nvGraphicFramePr>
      <xdr:xfrm>
        <a:off x="28575" y="13563600"/>
        <a:ext cx="4533900" cy="33909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53</xdr:row>
      <xdr:rowOff>47625</xdr:rowOff>
    </xdr:from>
    <xdr:to>
      <xdr:col>8</xdr:col>
      <xdr:colOff>476250</xdr:colOff>
      <xdr:row>69</xdr:row>
      <xdr:rowOff>47625</xdr:rowOff>
    </xdr:to>
    <xdr:graphicFrame>
      <xdr:nvGraphicFramePr>
        <xdr:cNvPr id="1" name="Chart 6"/>
        <xdr:cNvGraphicFramePr/>
      </xdr:nvGraphicFramePr>
      <xdr:xfrm>
        <a:off x="28575" y="9553575"/>
        <a:ext cx="6257925" cy="259080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19050</xdr:colOff>
      <xdr:row>72</xdr:row>
      <xdr:rowOff>47625</xdr:rowOff>
    </xdr:from>
    <xdr:to>
      <xdr:col>8</xdr:col>
      <xdr:colOff>504825</xdr:colOff>
      <xdr:row>92</xdr:row>
      <xdr:rowOff>142875</xdr:rowOff>
    </xdr:to>
    <xdr:graphicFrame>
      <xdr:nvGraphicFramePr>
        <xdr:cNvPr id="2" name="Chart 37"/>
        <xdr:cNvGraphicFramePr/>
      </xdr:nvGraphicFramePr>
      <xdr:xfrm>
        <a:off x="19050" y="12630150"/>
        <a:ext cx="6296025" cy="3333750"/>
      </xdr:xfrm>
      <a:graphic>
        <a:graphicData uri="http://schemas.openxmlformats.org/drawingml/2006/chart">
          <c:chart xmlns:c="http://schemas.openxmlformats.org/drawingml/2006/chart" r:id="rId2"/>
        </a:graphicData>
      </a:graphic>
    </xdr:graphicFrame>
    <xdr:clientData/>
  </xdr:twoCellAnchor>
  <xdr:oneCellAnchor>
    <xdr:from>
      <xdr:col>20</xdr:col>
      <xdr:colOff>95250</xdr:colOff>
      <xdr:row>88</xdr:row>
      <xdr:rowOff>142875</xdr:rowOff>
    </xdr:from>
    <xdr:ext cx="66675" cy="200025"/>
    <xdr:sp>
      <xdr:nvSpPr>
        <xdr:cNvPr id="3" name="TextBox 51"/>
        <xdr:cNvSpPr txBox="1">
          <a:spLocks noChangeArrowheads="1"/>
        </xdr:cNvSpPr>
      </xdr:nvSpPr>
      <xdr:spPr>
        <a:xfrm>
          <a:off x="11753850" y="15316200"/>
          <a:ext cx="666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  </a:t>
          </a:r>
        </a:p>
      </xdr:txBody>
    </xdr:sp>
    <xdr:clientData/>
  </xdr:oneCellAnchor>
  <xdr:twoCellAnchor editAs="absolute">
    <xdr:from>
      <xdr:col>0</xdr:col>
      <xdr:colOff>28575</xdr:colOff>
      <xdr:row>113</xdr:row>
      <xdr:rowOff>152400</xdr:rowOff>
    </xdr:from>
    <xdr:to>
      <xdr:col>8</xdr:col>
      <xdr:colOff>504825</xdr:colOff>
      <xdr:row>134</xdr:row>
      <xdr:rowOff>85725</xdr:rowOff>
    </xdr:to>
    <xdr:graphicFrame>
      <xdr:nvGraphicFramePr>
        <xdr:cNvPr id="4" name="Chart 56"/>
        <xdr:cNvGraphicFramePr/>
      </xdr:nvGraphicFramePr>
      <xdr:xfrm>
        <a:off x="28575" y="19373850"/>
        <a:ext cx="6286500" cy="3333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19050</xdr:colOff>
      <xdr:row>93</xdr:row>
      <xdr:rowOff>19050</xdr:rowOff>
    </xdr:from>
    <xdr:to>
      <xdr:col>8</xdr:col>
      <xdr:colOff>504825</xdr:colOff>
      <xdr:row>113</xdr:row>
      <xdr:rowOff>114300</xdr:rowOff>
    </xdr:to>
    <xdr:graphicFrame>
      <xdr:nvGraphicFramePr>
        <xdr:cNvPr id="5" name="Chart 57"/>
        <xdr:cNvGraphicFramePr/>
      </xdr:nvGraphicFramePr>
      <xdr:xfrm>
        <a:off x="19050" y="16002000"/>
        <a:ext cx="6296025" cy="333375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52</xdr:row>
      <xdr:rowOff>142875</xdr:rowOff>
    </xdr:from>
    <xdr:to>
      <xdr:col>9</xdr:col>
      <xdr:colOff>19050</xdr:colOff>
      <xdr:row>69</xdr:row>
      <xdr:rowOff>76200</xdr:rowOff>
    </xdr:to>
    <xdr:graphicFrame>
      <xdr:nvGraphicFramePr>
        <xdr:cNvPr id="1" name="Chart 5"/>
        <xdr:cNvGraphicFramePr/>
      </xdr:nvGraphicFramePr>
      <xdr:xfrm>
        <a:off x="114300" y="9667875"/>
        <a:ext cx="6238875" cy="26860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85725</xdr:colOff>
      <xdr:row>72</xdr:row>
      <xdr:rowOff>19050</xdr:rowOff>
    </xdr:from>
    <xdr:to>
      <xdr:col>9</xdr:col>
      <xdr:colOff>38100</xdr:colOff>
      <xdr:row>92</xdr:row>
      <xdr:rowOff>114300</xdr:rowOff>
    </xdr:to>
    <xdr:graphicFrame>
      <xdr:nvGraphicFramePr>
        <xdr:cNvPr id="2" name="Chart 13"/>
        <xdr:cNvGraphicFramePr/>
      </xdr:nvGraphicFramePr>
      <xdr:xfrm>
        <a:off x="85725" y="12782550"/>
        <a:ext cx="6286500" cy="3333750"/>
      </xdr:xfrm>
      <a:graphic>
        <a:graphicData uri="http://schemas.openxmlformats.org/drawingml/2006/chart">
          <c:chart xmlns:c="http://schemas.openxmlformats.org/drawingml/2006/chart" r:id="rId2"/>
        </a:graphicData>
      </a:graphic>
    </xdr:graphicFrame>
    <xdr:clientData/>
  </xdr:twoCellAnchor>
  <xdr:oneCellAnchor>
    <xdr:from>
      <xdr:col>20</xdr:col>
      <xdr:colOff>95250</xdr:colOff>
      <xdr:row>88</xdr:row>
      <xdr:rowOff>142875</xdr:rowOff>
    </xdr:from>
    <xdr:ext cx="66675" cy="200025"/>
    <xdr:sp>
      <xdr:nvSpPr>
        <xdr:cNvPr id="3" name="TextBox 17"/>
        <xdr:cNvSpPr txBox="1">
          <a:spLocks noChangeArrowheads="1"/>
        </xdr:cNvSpPr>
      </xdr:nvSpPr>
      <xdr:spPr>
        <a:xfrm>
          <a:off x="11753850" y="15497175"/>
          <a:ext cx="666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27</xdr:row>
      <xdr:rowOff>38100</xdr:rowOff>
    </xdr:from>
    <xdr:to>
      <xdr:col>6</xdr:col>
      <xdr:colOff>552450</xdr:colOff>
      <xdr:row>44</xdr:row>
      <xdr:rowOff>152400</xdr:rowOff>
    </xdr:to>
    <xdr:graphicFrame>
      <xdr:nvGraphicFramePr>
        <xdr:cNvPr id="1" name="Chart 2"/>
        <xdr:cNvGraphicFramePr/>
      </xdr:nvGraphicFramePr>
      <xdr:xfrm>
        <a:off x="28575" y="4505325"/>
        <a:ext cx="5886450" cy="2867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16</xdr:row>
      <xdr:rowOff>0</xdr:rowOff>
    </xdr:from>
    <xdr:to>
      <xdr:col>11</xdr:col>
      <xdr:colOff>0</xdr:colOff>
      <xdr:row>20</xdr:row>
      <xdr:rowOff>76200</xdr:rowOff>
    </xdr:to>
    <xdr:sp>
      <xdr:nvSpPr>
        <xdr:cNvPr id="1" name="Text 8"/>
        <xdr:cNvSpPr txBox="1">
          <a:spLocks noChangeArrowheads="1"/>
        </xdr:cNvSpPr>
      </xdr:nvSpPr>
      <xdr:spPr>
        <a:xfrm>
          <a:off x="1333500" y="2657475"/>
          <a:ext cx="4714875" cy="723900"/>
        </a:xfrm>
        <a:prstGeom prst="rect">
          <a:avLst/>
        </a:prstGeom>
        <a:solidFill>
          <a:srgbClr val="A0E0E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Bij dit aspect wordt de vracht berekend van de verontreinigende stoffen die wordt verwijderd uit de grond. Alleen concentraties boven de streefwaarden tellen mee. De score is maximaal als de vracht binnen een jaar wordt verwijderd. Scores van verschillende stoffen worden genormeerd met de tussenwaarde.</a:t>
          </a:r>
        </a:p>
      </xdr:txBody>
    </xdr:sp>
    <xdr:clientData/>
  </xdr:twoCellAnchor>
  <xdr:twoCellAnchor>
    <xdr:from>
      <xdr:col>3</xdr:col>
      <xdr:colOff>9525</xdr:colOff>
      <xdr:row>20</xdr:row>
      <xdr:rowOff>104775</xdr:rowOff>
    </xdr:from>
    <xdr:to>
      <xdr:col>11</xdr:col>
      <xdr:colOff>0</xdr:colOff>
      <xdr:row>25</xdr:row>
      <xdr:rowOff>0</xdr:rowOff>
    </xdr:to>
    <xdr:sp>
      <xdr:nvSpPr>
        <xdr:cNvPr id="2" name="Text 10"/>
        <xdr:cNvSpPr txBox="1">
          <a:spLocks noChangeArrowheads="1"/>
        </xdr:cNvSpPr>
      </xdr:nvSpPr>
      <xdr:spPr>
        <a:xfrm>
          <a:off x="1333500" y="3409950"/>
          <a:ext cx="4714875" cy="704850"/>
        </a:xfrm>
        <a:prstGeom prst="rect">
          <a:avLst/>
        </a:prstGeom>
        <a:solidFill>
          <a:srgbClr val="A0E0E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Bij dit aspect wordt de vracht berekend van de verontreinigende stoffen die wordt verwijderd uit het grondwater. Alleen concentraties boven de streefwaarden tellen mee. De score is maximaal als de vracht binnen een jaar wordt verwijderd. Scores van verschillende stoffen worden genormeerd met de tussenwaarde.</a:t>
          </a:r>
        </a:p>
      </xdr:txBody>
    </xdr:sp>
    <xdr:clientData/>
  </xdr:twoCellAnchor>
  <xdr:twoCellAnchor>
    <xdr:from>
      <xdr:col>3</xdr:col>
      <xdr:colOff>0</xdr:colOff>
      <xdr:row>25</xdr:row>
      <xdr:rowOff>28575</xdr:rowOff>
    </xdr:from>
    <xdr:to>
      <xdr:col>10</xdr:col>
      <xdr:colOff>581025</xdr:colOff>
      <xdr:row>27</xdr:row>
      <xdr:rowOff>57150</xdr:rowOff>
    </xdr:to>
    <xdr:sp>
      <xdr:nvSpPr>
        <xdr:cNvPr id="3" name="Text 11"/>
        <xdr:cNvSpPr txBox="1">
          <a:spLocks noChangeArrowheads="1"/>
        </xdr:cNvSpPr>
      </xdr:nvSpPr>
      <xdr:spPr>
        <a:xfrm>
          <a:off x="1323975" y="4143375"/>
          <a:ext cx="4714875" cy="3524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 netto hoeveelheid grond die verloren gaat, ongeacht de hoeveelheid verontreiniging die erin zit.</a:t>
          </a:r>
        </a:p>
      </xdr:txBody>
    </xdr:sp>
    <xdr:clientData/>
  </xdr:twoCellAnchor>
  <xdr:twoCellAnchor>
    <xdr:from>
      <xdr:col>3</xdr:col>
      <xdr:colOff>0</xdr:colOff>
      <xdr:row>27</xdr:row>
      <xdr:rowOff>85725</xdr:rowOff>
    </xdr:from>
    <xdr:to>
      <xdr:col>10</xdr:col>
      <xdr:colOff>581025</xdr:colOff>
      <xdr:row>29</xdr:row>
      <xdr:rowOff>104775</xdr:rowOff>
    </xdr:to>
    <xdr:sp>
      <xdr:nvSpPr>
        <xdr:cNvPr id="4" name="Text 12"/>
        <xdr:cNvSpPr txBox="1">
          <a:spLocks noChangeArrowheads="1"/>
        </xdr:cNvSpPr>
      </xdr:nvSpPr>
      <xdr:spPr>
        <a:xfrm>
          <a:off x="1323975" y="4524375"/>
          <a:ext cx="4714875" cy="34290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 netto hoeveelheid grondwater die verloren gaat, ongeacht de hoeveelheid verontreiniging die erin zit.</a:t>
          </a:r>
        </a:p>
      </xdr:txBody>
    </xdr:sp>
    <xdr:clientData/>
  </xdr:twoCellAnchor>
  <xdr:twoCellAnchor>
    <xdr:from>
      <xdr:col>3</xdr:col>
      <xdr:colOff>0</xdr:colOff>
      <xdr:row>29</xdr:row>
      <xdr:rowOff>133350</xdr:rowOff>
    </xdr:from>
    <xdr:to>
      <xdr:col>10</xdr:col>
      <xdr:colOff>581025</xdr:colOff>
      <xdr:row>34</xdr:row>
      <xdr:rowOff>57150</xdr:rowOff>
    </xdr:to>
    <xdr:sp>
      <xdr:nvSpPr>
        <xdr:cNvPr id="5" name="Text 13"/>
        <xdr:cNvSpPr txBox="1">
          <a:spLocks noChangeArrowheads="1"/>
        </xdr:cNvSpPr>
      </xdr:nvSpPr>
      <xdr:spPr>
        <a:xfrm>
          <a:off x="1323975" y="4895850"/>
          <a:ext cx="4714875" cy="7334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Energiegebruik van alle handelingen nodig voor de sanering. Onderscheid wordt gemaakt tussen diesel- en elektriciteitsgebruik. Hieruit wordt automatisch berekende wat de bijbehorende luchtemissies zijn in inwonerequivalenten (eenheden die in Nederland per inwoner per jaar wordt geëmitteerd).</a:t>
          </a:r>
        </a:p>
      </xdr:txBody>
    </xdr:sp>
    <xdr:clientData/>
  </xdr:twoCellAnchor>
  <xdr:twoCellAnchor>
    <xdr:from>
      <xdr:col>3</xdr:col>
      <xdr:colOff>0</xdr:colOff>
      <xdr:row>34</xdr:row>
      <xdr:rowOff>85725</xdr:rowOff>
    </xdr:from>
    <xdr:to>
      <xdr:col>10</xdr:col>
      <xdr:colOff>581025</xdr:colOff>
      <xdr:row>37</xdr:row>
      <xdr:rowOff>95250</xdr:rowOff>
    </xdr:to>
    <xdr:sp>
      <xdr:nvSpPr>
        <xdr:cNvPr id="6" name="Text 14"/>
        <xdr:cNvSpPr txBox="1">
          <a:spLocks noChangeArrowheads="1"/>
        </xdr:cNvSpPr>
      </xdr:nvSpPr>
      <xdr:spPr>
        <a:xfrm>
          <a:off x="1323975" y="5657850"/>
          <a:ext cx="4714875" cy="49530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Oppervlaktewater emissies worden genormeerd met de grenswaarde uit de evaluatienota water.</a:t>
          </a:r>
        </a:p>
      </xdr:txBody>
    </xdr:sp>
    <xdr:clientData/>
  </xdr:twoCellAnchor>
  <xdr:twoCellAnchor>
    <xdr:from>
      <xdr:col>3</xdr:col>
      <xdr:colOff>0</xdr:colOff>
      <xdr:row>37</xdr:row>
      <xdr:rowOff>123825</xdr:rowOff>
    </xdr:from>
    <xdr:to>
      <xdr:col>10</xdr:col>
      <xdr:colOff>581025</xdr:colOff>
      <xdr:row>41</xdr:row>
      <xdr:rowOff>0</xdr:rowOff>
    </xdr:to>
    <xdr:sp>
      <xdr:nvSpPr>
        <xdr:cNvPr id="7" name="Text 15"/>
        <xdr:cNvSpPr txBox="1">
          <a:spLocks noChangeArrowheads="1"/>
        </xdr:cNvSpPr>
      </xdr:nvSpPr>
      <xdr:spPr>
        <a:xfrm>
          <a:off x="1323975" y="6181725"/>
          <a:ext cx="4714875" cy="7334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Hoeveelheid finaal afval in m3. Denk hierbij onder andere aan: afgevoerde grond, afval grondreiniging, actieve kool en slib van waterzuivering</a:t>
          </a:r>
        </a:p>
      </xdr:txBody>
    </xdr:sp>
    <xdr:clientData/>
  </xdr:twoCellAnchor>
  <xdr:twoCellAnchor>
    <xdr:from>
      <xdr:col>3</xdr:col>
      <xdr:colOff>0</xdr:colOff>
      <xdr:row>41</xdr:row>
      <xdr:rowOff>38100</xdr:rowOff>
    </xdr:from>
    <xdr:to>
      <xdr:col>10</xdr:col>
      <xdr:colOff>581025</xdr:colOff>
      <xdr:row>44</xdr:row>
      <xdr:rowOff>95250</xdr:rowOff>
    </xdr:to>
    <xdr:sp>
      <xdr:nvSpPr>
        <xdr:cNvPr id="8" name="Text 16"/>
        <xdr:cNvSpPr txBox="1">
          <a:spLocks noChangeArrowheads="1"/>
        </xdr:cNvSpPr>
      </xdr:nvSpPr>
      <xdr:spPr>
        <a:xfrm>
          <a:off x="1323975" y="6953250"/>
          <a:ext cx="4714875" cy="542925"/>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Hoeveelheid ruimte in (m2 x jaar) die de saneringsoperatie in beslag neemt gedurende de verschillende fases van de sanering. Dat wil zeggen: de ruimte die niet kan worden gebruikt voor enige andere activiteit.</a:t>
          </a:r>
        </a:p>
      </xdr:txBody>
    </xdr:sp>
    <xdr:clientData/>
  </xdr:twoCellAnchor>
  <xdr:twoCellAnchor>
    <xdr:from>
      <xdr:col>11</xdr:col>
      <xdr:colOff>276225</xdr:colOff>
      <xdr:row>0</xdr:row>
      <xdr:rowOff>219075</xdr:rowOff>
    </xdr:from>
    <xdr:to>
      <xdr:col>20</xdr:col>
      <xdr:colOff>47625</xdr:colOff>
      <xdr:row>24</xdr:row>
      <xdr:rowOff>76200</xdr:rowOff>
    </xdr:to>
    <xdr:sp>
      <xdr:nvSpPr>
        <xdr:cNvPr id="9" name="Text 8"/>
        <xdr:cNvSpPr txBox="1">
          <a:spLocks noChangeArrowheads="1"/>
        </xdr:cNvSpPr>
      </xdr:nvSpPr>
      <xdr:spPr>
        <a:xfrm>
          <a:off x="6324600" y="219075"/>
          <a:ext cx="4486275" cy="3810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De vrachtberekening gaat als volgt: </a:t>
          </a:r>
          <a:r>
            <a:rPr lang="en-US" cap="none" sz="1000" b="0" i="0" u="none" baseline="0">
              <a:latin typeface="Arial"/>
              <a:ea typeface="Arial"/>
              <a:cs typeface="Arial"/>
            </a:rPr>
            <a:t>
1. De vracht (concentratie maal volume in m3) in de huidige situatie (dus voor de sanering aanvangt) wordt berekend voor </a:t>
          </a:r>
          <a:r>
            <a:rPr lang="en-US" cap="none" sz="1000" b="0" i="1" u="none" baseline="0">
              <a:latin typeface="Arial"/>
              <a:ea typeface="Arial"/>
              <a:cs typeface="Arial"/>
            </a:rPr>
            <a:t>alle </a:t>
          </a:r>
          <a:r>
            <a:rPr lang="en-US" cap="none" sz="1000" b="0" i="0" u="none" baseline="0">
              <a:latin typeface="Arial"/>
              <a:ea typeface="Arial"/>
              <a:cs typeface="Arial"/>
            </a:rPr>
            <a:t>relevante verontreinigingen</a:t>
          </a:r>
          <a:r>
            <a:rPr lang="en-US" cap="none" sz="1000" b="0" i="0" u="none" baseline="0">
              <a:latin typeface="Arial"/>
              <a:ea typeface="Arial"/>
              <a:cs typeface="Arial"/>
            </a:rPr>
            <a:t>. Lagere concentraties dan de s-waarde worden genegeerd. Hieronder staat een voorbeeld (de rode lijn in onderstaande grafiek). </a:t>
          </a:r>
          <a:r>
            <a:rPr lang="en-US" cap="none" sz="1000" b="1" i="0" u="none" baseline="0">
              <a:latin typeface="Arial"/>
              <a:ea typeface="Arial"/>
              <a:cs typeface="Arial"/>
            </a:rPr>
            <a:t>Werkblad 'Huidig'</a:t>
          </a:r>
          <a:r>
            <a:rPr lang="en-US" cap="none" sz="1000" b="0" i="0" u="none" baseline="0">
              <a:latin typeface="Arial"/>
              <a:ea typeface="Arial"/>
              <a:cs typeface="Arial"/>
            </a:rPr>
            <a:t>
2. Teken de grafiek van de verwachte vracht (concentratie maal volume in m3) als functie van de tijd bij de te onderzoeken variant. Hiervoor biedt het werkblad 'Klad' een hulpmiddel. Ook hier wordt gecorrigeerd voor de s-waarden (blauwe lijn). </a:t>
          </a:r>
          <a:r>
            <a:rPr lang="en-US" cap="none" sz="1000" b="1" i="0" u="none" baseline="0">
              <a:latin typeface="Arial"/>
              <a:ea typeface="Arial"/>
              <a:cs typeface="Arial"/>
            </a:rPr>
            <a:t>Werkblad 'Klad'</a:t>
          </a:r>
          <a:r>
            <a:rPr lang="en-US" cap="none" sz="1000" b="0" i="0" u="none" baseline="0">
              <a:latin typeface="Arial"/>
              <a:ea typeface="Arial"/>
              <a:cs typeface="Arial"/>
            </a:rPr>
            <a:t> 
3. Bereken de oppervlakte onder de grafiek voor de variant. De waarde (415; cel C4 in 'Klad') vult u in in het werkblad van desbetreffende variant. </a:t>
          </a:r>
          <a:r>
            <a:rPr lang="en-US" cap="none" sz="1000" b="1" i="0" u="none" baseline="0">
              <a:latin typeface="Arial"/>
              <a:ea typeface="Arial"/>
              <a:cs typeface="Arial"/>
            </a:rPr>
            <a:t>Werkblad 'Klad'</a:t>
          </a:r>
          <a:r>
            <a:rPr lang="en-US" cap="none" sz="1000" b="0" i="0" u="none" baseline="0">
              <a:latin typeface="Arial"/>
              <a:ea typeface="Arial"/>
              <a:cs typeface="Arial"/>
            </a:rPr>
            <a:t>
4. Het verschil tussen de vracht in de huidige situatie en de over 30 jaar gemiddelde vracht voor de variant (groen oppervlak O in de grafiek)  wordt nu berekend en gedeeld door de tussenwaarde in het werkblad van de betreffende variant, in dit geval dus (50.0-13.8) / tussenwaarde. </a:t>
          </a:r>
          <a:r>
            <a:rPr lang="en-US" cap="none" sz="1000" b="1" i="0" u="none" baseline="0">
              <a:latin typeface="Arial"/>
              <a:ea typeface="Arial"/>
              <a:cs typeface="Arial"/>
            </a:rPr>
            <a:t>Werkblad I, II, III, enz.</a:t>
          </a:r>
          <a:r>
            <a:rPr lang="en-US" cap="none" sz="1000" b="0" i="0" u="none" baseline="0">
              <a:latin typeface="Arial"/>
              <a:ea typeface="Arial"/>
              <a:cs typeface="Arial"/>
            </a:rPr>
            <a:t>
5. Deze procedure moet voor alle relevante verontreinigingen worden doorlopen.
</a:t>
          </a:r>
          <a:r>
            <a:rPr lang="en-US" cap="none" sz="1000" b="1" i="1" u="none" baseline="0">
              <a:latin typeface="Arial"/>
              <a:ea typeface="Arial"/>
              <a:cs typeface="Arial"/>
            </a:rPr>
            <a:t>N.B. Hiernaast staat ook een vereenvoudigde procedure.
</a:t>
          </a:r>
          <a:r>
            <a:rPr lang="en-US" cap="none" sz="1000" b="0" i="0" u="none" baseline="0">
              <a:latin typeface="Arial"/>
              <a:ea typeface="Arial"/>
              <a:cs typeface="Arial"/>
            </a:rPr>
            <a:t>* De huidige situatie is niet hetzelfde als een nulvariant of 'niets doen'. Er geldt namelijk dat het verontreinigde volume constant blijft en er geen natuurlijke afbraak optreedt.</a:t>
          </a:r>
        </a:p>
      </xdr:txBody>
    </xdr:sp>
    <xdr:clientData/>
  </xdr:twoCellAnchor>
  <xdr:twoCellAnchor>
    <xdr:from>
      <xdr:col>21</xdr:col>
      <xdr:colOff>0</xdr:colOff>
      <xdr:row>0</xdr:row>
      <xdr:rowOff>209550</xdr:rowOff>
    </xdr:from>
    <xdr:to>
      <xdr:col>29</xdr:col>
      <xdr:colOff>152400</xdr:colOff>
      <xdr:row>18</xdr:row>
      <xdr:rowOff>95250</xdr:rowOff>
    </xdr:to>
    <xdr:sp>
      <xdr:nvSpPr>
        <xdr:cNvPr id="10" name="Text 8"/>
        <xdr:cNvSpPr txBox="1">
          <a:spLocks noChangeArrowheads="1"/>
        </xdr:cNvSpPr>
      </xdr:nvSpPr>
      <xdr:spPr>
        <a:xfrm>
          <a:off x="11353800" y="209550"/>
          <a:ext cx="4752975" cy="2867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Een vereenvoudigde vrachtberekening gaat als volgt: </a:t>
          </a:r>
          <a:r>
            <a:rPr lang="en-US" cap="none" sz="1000" b="0" i="0" u="none" baseline="0">
              <a:latin typeface="Arial"/>
              <a:ea typeface="Arial"/>
              <a:cs typeface="Arial"/>
            </a:rPr>
            <a:t>
Nevenstaande berekening is tamelijk ingewikkeld en vereist veel kennis van de aard van de verontreiniging en de verspreiding. Voor eenvoudige gevallen is ook een alternatieve berekening mogelijk die vaak goede schattingen oplevert voor de milieuverdienste. De aannames zijn als volgt:
</a:t>
          </a:r>
          <a:r>
            <a:rPr lang="en-US" cap="none" sz="1000" b="0" i="1" u="none" baseline="0">
              <a:latin typeface="Arial"/>
              <a:ea typeface="Arial"/>
              <a:cs typeface="Arial"/>
            </a:rPr>
            <a:t>1. Het verontreinigde volume blijft constant.
2. Er treedt geen natuurlijke afbraak op.
3. De sanering verloopt in sprongen of fases (zie grafiek beneden).
</a:t>
          </a:r>
          <a:r>
            <a:rPr lang="en-US" cap="none" sz="1000" b="0" i="0" u="none" baseline="0">
              <a:latin typeface="Arial"/>
              <a:ea typeface="Arial"/>
              <a:cs typeface="Arial"/>
            </a:rPr>
            <a:t>Bij deze aannames is de score bij de huidige situatie:
        {(c</a:t>
          </a:r>
          <a:r>
            <a:rPr lang="en-US" cap="none" sz="1000" b="0" i="0" u="none" baseline="-25000">
              <a:latin typeface="Arial"/>
              <a:ea typeface="Arial"/>
              <a:cs typeface="Arial"/>
            </a:rPr>
            <a:t>0</a:t>
          </a:r>
          <a:r>
            <a:rPr lang="en-US" cap="none" sz="1000" b="0" i="0" u="none" baseline="0">
              <a:latin typeface="Arial"/>
              <a:ea typeface="Arial"/>
              <a:cs typeface="Arial"/>
            </a:rPr>
            <a:t>-s) x V} / t      (t=tussenwaarde)
En bij de te onderzoeken variant:
        {[(c</a:t>
          </a:r>
          <a:r>
            <a:rPr lang="en-US" cap="none" sz="1000" b="0" i="0" u="none" baseline="-25000">
              <a:latin typeface="Arial"/>
              <a:ea typeface="Arial"/>
              <a:cs typeface="Arial"/>
            </a:rPr>
            <a:t>0</a:t>
          </a:r>
          <a:r>
            <a:rPr lang="en-US" cap="none" sz="1000" b="0" i="0" u="none" baseline="0">
              <a:latin typeface="Arial"/>
              <a:ea typeface="Arial"/>
              <a:cs typeface="Arial"/>
            </a:rPr>
            <a:t>-s) x V x T</a:t>
          </a:r>
          <a:r>
            <a:rPr lang="en-US" cap="none" sz="1000" b="0" i="0" u="none" baseline="-25000">
              <a:latin typeface="Arial"/>
              <a:ea typeface="Arial"/>
              <a:cs typeface="Arial"/>
            </a:rPr>
            <a:t>1</a:t>
          </a:r>
          <a:r>
            <a:rPr lang="en-US" cap="none" sz="1000" b="0" i="0" u="none" baseline="0">
              <a:latin typeface="Arial"/>
              <a:ea typeface="Arial"/>
              <a:cs typeface="Arial"/>
            </a:rPr>
            <a:t>] + [(c</a:t>
          </a:r>
          <a:r>
            <a:rPr lang="en-US" cap="none" sz="1000" b="0" i="0" u="none" baseline="-25000">
              <a:latin typeface="Arial"/>
              <a:ea typeface="Arial"/>
              <a:cs typeface="Arial"/>
            </a:rPr>
            <a:t>f</a:t>
          </a:r>
          <a:r>
            <a:rPr lang="en-US" cap="none" sz="1000" b="0" i="0" u="none" baseline="0">
              <a:latin typeface="Arial"/>
              <a:ea typeface="Arial"/>
              <a:cs typeface="Arial"/>
            </a:rPr>
            <a:t>-s) x V x T</a:t>
          </a:r>
          <a:r>
            <a:rPr lang="en-US" cap="none" sz="1000" b="0" i="0" u="none" baseline="-25000">
              <a:latin typeface="Arial"/>
              <a:ea typeface="Arial"/>
              <a:cs typeface="Arial"/>
            </a:rPr>
            <a:t>2</a:t>
          </a:r>
          <a:r>
            <a:rPr lang="en-US" cap="none" sz="1000" b="0" i="0" u="none" baseline="0">
              <a:latin typeface="Arial"/>
              <a:ea typeface="Arial"/>
              <a:cs typeface="Arial"/>
            </a:rPr>
            <a:t>]} / (30  x  t)
De milieuverdienste is weer het verschil tussen deze twee. In het onderstaande voorbeeld geldt T</a:t>
          </a:r>
          <a:r>
            <a:rPr lang="en-US" cap="none" sz="1000" b="0" i="0" u="none" baseline="-25000">
              <a:latin typeface="Arial"/>
              <a:ea typeface="Arial"/>
              <a:cs typeface="Arial"/>
            </a:rPr>
            <a:t>1</a:t>
          </a:r>
          <a:r>
            <a:rPr lang="en-US" cap="none" sz="1000" b="0" i="0" u="none" baseline="0">
              <a:latin typeface="Arial"/>
              <a:ea typeface="Arial"/>
              <a:cs typeface="Arial"/>
            </a:rPr>
            <a:t>=8 jaar, T</a:t>
          </a:r>
          <a:r>
            <a:rPr lang="en-US" cap="none" sz="1000" b="0" i="0" u="none" baseline="-25000">
              <a:latin typeface="Arial"/>
              <a:ea typeface="Arial"/>
              <a:cs typeface="Arial"/>
            </a:rPr>
            <a:t>2</a:t>
          </a:r>
          <a:r>
            <a:rPr lang="en-US" cap="none" sz="1000" b="0" i="0" u="none" baseline="0">
              <a:latin typeface="Arial"/>
              <a:ea typeface="Arial"/>
              <a:cs typeface="Arial"/>
            </a:rPr>
            <a:t>=22 jaar (30-8), c</a:t>
          </a:r>
          <a:r>
            <a:rPr lang="en-US" cap="none" sz="1000" b="0" i="0" u="none" baseline="-25000">
              <a:latin typeface="Arial"/>
              <a:ea typeface="Arial"/>
              <a:cs typeface="Arial"/>
            </a:rPr>
            <a:t>0</a:t>
          </a:r>
          <a:r>
            <a:rPr lang="en-US" cap="none" sz="1000" b="0" i="0" u="none" baseline="0">
              <a:latin typeface="Arial"/>
              <a:ea typeface="Arial"/>
              <a:cs typeface="Arial"/>
            </a:rPr>
            <a:t>=10 en c</a:t>
          </a:r>
          <a:r>
            <a:rPr lang="en-US" cap="none" sz="1000" b="0" i="0" u="none" baseline="-25000">
              <a:latin typeface="Arial"/>
              <a:ea typeface="Arial"/>
              <a:cs typeface="Arial"/>
            </a:rPr>
            <a:t>f</a:t>
          </a:r>
          <a:r>
            <a:rPr lang="en-US" cap="none" sz="1000" b="0" i="0" u="none" baseline="0">
              <a:latin typeface="Arial"/>
              <a:ea typeface="Arial"/>
              <a:cs typeface="Arial"/>
            </a:rPr>
            <a:t>=5. De score is dus (1500-400)/(30 x t)= 36.7 / t. Eventueel kunnen meer fases worden onderscheiden.
Deze procedure moet voor alle relevante verontreinigingen worden doorlopen. </a:t>
          </a:r>
        </a:p>
      </xdr:txBody>
    </xdr:sp>
    <xdr:clientData/>
  </xdr:twoCellAnchor>
  <xdr:twoCellAnchor>
    <xdr:from>
      <xdr:col>21</xdr:col>
      <xdr:colOff>9525</xdr:colOff>
      <xdr:row>21</xdr:row>
      <xdr:rowOff>95250</xdr:rowOff>
    </xdr:from>
    <xdr:to>
      <xdr:col>29</xdr:col>
      <xdr:colOff>104775</xdr:colOff>
      <xdr:row>38</xdr:row>
      <xdr:rowOff>28575</xdr:rowOff>
    </xdr:to>
    <xdr:graphicFrame>
      <xdr:nvGraphicFramePr>
        <xdr:cNvPr id="11" name="Chart 48"/>
        <xdr:cNvGraphicFramePr/>
      </xdr:nvGraphicFramePr>
      <xdr:xfrm>
        <a:off x="11363325" y="3562350"/>
        <a:ext cx="4695825" cy="268605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18</xdr:row>
      <xdr:rowOff>57150</xdr:rowOff>
    </xdr:from>
    <xdr:to>
      <xdr:col>39</xdr:col>
      <xdr:colOff>133350</xdr:colOff>
      <xdr:row>35</xdr:row>
      <xdr:rowOff>47625</xdr:rowOff>
    </xdr:to>
    <xdr:sp>
      <xdr:nvSpPr>
        <xdr:cNvPr id="12" name="Text 8"/>
        <xdr:cNvSpPr txBox="1">
          <a:spLocks noChangeArrowheads="1"/>
        </xdr:cNvSpPr>
      </xdr:nvSpPr>
      <xdr:spPr>
        <a:xfrm>
          <a:off x="16544925" y="3038475"/>
          <a:ext cx="5448300" cy="2743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De interpretatie van de gepresenteerde grafieken: </a:t>
          </a:r>
          <a:r>
            <a:rPr lang="en-US" cap="none" sz="1000" b="0" i="0" u="none" baseline="0">
              <a:latin typeface="Arial"/>
              <a:ea typeface="Arial"/>
              <a:cs typeface="Arial"/>
            </a:rPr>
            <a:t>
De bovenstaande grafiek laat een typische uitvoer zien vanm de vergelijking tussen saneringsvarianten voor Milieuverdienste. De interpretatie is als volgt:
De </a:t>
          </a:r>
          <a:r>
            <a:rPr lang="en-US" cap="none" sz="1000" b="0" i="1" u="none" baseline="0">
              <a:latin typeface="Arial"/>
              <a:ea typeface="Arial"/>
              <a:cs typeface="Arial"/>
            </a:rPr>
            <a:t>groene stippellijn</a:t>
          </a:r>
          <a:r>
            <a:rPr lang="en-US" cap="none" sz="1000" b="0" i="0" u="none" baseline="0">
              <a:latin typeface="Arial"/>
              <a:ea typeface="Arial"/>
              <a:cs typeface="Arial"/>
            </a:rPr>
            <a:t> geeft de theoretisch maximaal haalbare score aan die op Milieuverdienste kan worden behaald. Dat wil zeggen: alle vrachten - voor zover boven de streefwaarde - </a:t>
          </a:r>
          <a:r>
            <a:rPr lang="en-US" cap="none" sz="1000" b="0" i="1" u="none" baseline="0">
              <a:latin typeface="Arial"/>
              <a:ea typeface="Arial"/>
              <a:cs typeface="Arial"/>
            </a:rPr>
            <a:t>onmiddellijk </a:t>
          </a:r>
          <a:r>
            <a:rPr lang="en-US" cap="none" sz="1000" b="0" i="0" u="none" baseline="0">
              <a:latin typeface="Arial"/>
              <a:ea typeface="Arial"/>
              <a:cs typeface="Arial"/>
            </a:rPr>
            <a:t>worden verwijderd zonder dat daar milieukosten, zoals grondwaterdepletie of energiegebruik tegenover staan. Uiteraard is dit een utopisch getal dat nimmer gehaald zal worden.
De </a:t>
          </a:r>
          <a:r>
            <a:rPr lang="en-US" cap="none" sz="1000" b="0" i="1" u="none" baseline="0">
              <a:latin typeface="Arial"/>
              <a:ea typeface="Arial"/>
              <a:cs typeface="Arial"/>
            </a:rPr>
            <a:t>rode stippellijn</a:t>
          </a:r>
          <a:r>
            <a:rPr lang="en-US" cap="none" sz="1000" b="0" i="0" u="none" baseline="0">
              <a:latin typeface="Arial"/>
              <a:ea typeface="Arial"/>
              <a:cs typeface="Arial"/>
            </a:rPr>
            <a:t> is de berekening van een referentie-multifunctionele variant, waarbij alle grond extractief wordt gereinigd en het grondwater 50 maal doorspoeld wordt. Details staan in het werkblad 'Ref'.</a:t>
          </a:r>
          <a:r>
            <a:rPr lang="en-US" cap="none" sz="1000" b="0" i="0" u="none" baseline="0">
              <a:latin typeface="Arial"/>
              <a:ea typeface="Arial"/>
              <a:cs typeface="Arial"/>
            </a:rPr>
            <a:t>
De </a:t>
          </a:r>
          <a:r>
            <a:rPr lang="en-US" cap="none" sz="1000" b="0" i="1" u="none" baseline="0">
              <a:latin typeface="Arial"/>
              <a:ea typeface="Arial"/>
              <a:cs typeface="Arial"/>
            </a:rPr>
            <a:t>nulwaarde</a:t>
          </a:r>
          <a:r>
            <a:rPr lang="en-US" cap="none" sz="1000" b="0" i="0" u="none" baseline="0">
              <a:latin typeface="Arial"/>
              <a:ea typeface="Arial"/>
              <a:cs typeface="Arial"/>
            </a:rPr>
            <a:t> is de referentie: bij Milieuverdienste is dat de huidige situatie. Als een variant '0' scoort zijn ofwel de negatieve aspecten precies even groot als de positieve aspecten, ofwel er is geen verschil met de huidige situatie (geen natuurlijke afbraak en/of verspreiding).
De grafiek </a:t>
          </a:r>
          <a:r>
            <a:rPr lang="en-US" cap="none" sz="1000" b="0" i="1" u="none" baseline="0">
              <a:latin typeface="Arial"/>
              <a:ea typeface="Arial"/>
              <a:cs typeface="Arial"/>
            </a:rPr>
            <a:t>Milieuverdienste per aspect</a:t>
          </a:r>
          <a:r>
            <a:rPr lang="en-US" cap="none" sz="1000" b="0" i="0" u="none" baseline="0">
              <a:latin typeface="Arial"/>
              <a:ea typeface="Arial"/>
              <a:cs typeface="Arial"/>
            </a:rPr>
            <a:t> laat de scores per aspect zien: de positieve staan boven de x-as en de negatieve staan onder de x-as. Ter vergelijking staan ook de maximaal haalbare score en de MF-referentie in deze grafiek. 
</a:t>
          </a:r>
          <a:r>
            <a:rPr lang="en-US" cap="none" sz="1000" b="1" i="0" u="none" baseline="0">
              <a:latin typeface="Arial"/>
              <a:ea typeface="Arial"/>
              <a:cs typeface="Arial"/>
            </a:rPr>
            <a:t/>
          </a:r>
        </a:p>
      </xdr:txBody>
    </xdr:sp>
    <xdr:clientData/>
  </xdr:twoCellAnchor>
  <xdr:twoCellAnchor>
    <xdr:from>
      <xdr:col>11</xdr:col>
      <xdr:colOff>266700</xdr:colOff>
      <xdr:row>26</xdr:row>
      <xdr:rowOff>28575</xdr:rowOff>
    </xdr:from>
    <xdr:to>
      <xdr:col>20</xdr:col>
      <xdr:colOff>38100</xdr:colOff>
      <xdr:row>41</xdr:row>
      <xdr:rowOff>114300</xdr:rowOff>
    </xdr:to>
    <xdr:grpSp>
      <xdr:nvGrpSpPr>
        <xdr:cNvPr id="13" name="Group 77"/>
        <xdr:cNvGrpSpPr>
          <a:grpSpLocks/>
        </xdr:cNvGrpSpPr>
      </xdr:nvGrpSpPr>
      <xdr:grpSpPr>
        <a:xfrm>
          <a:off x="6315075" y="4305300"/>
          <a:ext cx="4486275" cy="2724150"/>
          <a:chOff x="855" y="585"/>
          <a:chExt cx="599" cy="368"/>
        </a:xfrm>
        <a:solidFill>
          <a:srgbClr val="FFFFFF"/>
        </a:solidFill>
      </xdr:grpSpPr>
      <xdr:graphicFrame>
        <xdr:nvGraphicFramePr>
          <xdr:cNvPr id="14" name="Chart 64"/>
          <xdr:cNvGraphicFramePr/>
        </xdr:nvGraphicFramePr>
        <xdr:xfrm>
          <a:off x="855" y="585"/>
          <a:ext cx="599" cy="368"/>
        </xdr:xfrm>
        <a:graphic>
          <a:graphicData uri="http://schemas.openxmlformats.org/drawingml/2006/chart">
            <c:chart xmlns:c="http://schemas.openxmlformats.org/drawingml/2006/chart" r:id="rId2"/>
          </a:graphicData>
        </a:graphic>
      </xdr:graphicFrame>
      <xdr:sp>
        <xdr:nvSpPr>
          <xdr:cNvPr id="15" name="Polygon 65"/>
          <xdr:cNvSpPr>
            <a:spLocks/>
          </xdr:cNvSpPr>
        </xdr:nvSpPr>
        <xdr:spPr>
          <a:xfrm>
            <a:off x="965" y="662"/>
            <a:ext cx="279" cy="194"/>
          </a:xfrm>
          <a:custGeom>
            <a:pathLst>
              <a:path h="199" w="274">
                <a:moveTo>
                  <a:pt x="5" y="3"/>
                </a:moveTo>
                <a:lnTo>
                  <a:pt x="18" y="14"/>
                </a:lnTo>
                <a:lnTo>
                  <a:pt x="27" y="33"/>
                </a:lnTo>
                <a:lnTo>
                  <a:pt x="38" y="52"/>
                </a:lnTo>
                <a:lnTo>
                  <a:pt x="47" y="65"/>
                </a:lnTo>
                <a:lnTo>
                  <a:pt x="56" y="79"/>
                </a:lnTo>
                <a:lnTo>
                  <a:pt x="67" y="98"/>
                </a:lnTo>
                <a:lnTo>
                  <a:pt x="76" y="115"/>
                </a:lnTo>
                <a:lnTo>
                  <a:pt x="86" y="137"/>
                </a:lnTo>
                <a:lnTo>
                  <a:pt x="96" y="160"/>
                </a:lnTo>
                <a:lnTo>
                  <a:pt x="106" y="183"/>
                </a:lnTo>
                <a:lnTo>
                  <a:pt x="116" y="199"/>
                </a:lnTo>
                <a:lnTo>
                  <a:pt x="274" y="199"/>
                </a:lnTo>
                <a:lnTo>
                  <a:pt x="274" y="1"/>
                </a:lnTo>
                <a:lnTo>
                  <a:pt x="0" y="0"/>
                </a:lnTo>
                <a:lnTo>
                  <a:pt x="18" y="13"/>
                </a:lnTo>
                <a:lnTo>
                  <a:pt x="23" y="25"/>
                </a:lnTo>
              </a:path>
            </a:pathLst>
          </a:cu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TextBox 66"/>
          <xdr:cNvSpPr txBox="1">
            <a:spLocks noChangeArrowheads="1"/>
          </xdr:cNvSpPr>
        </xdr:nvSpPr>
        <xdr:spPr>
          <a:xfrm>
            <a:off x="1128" y="707"/>
            <a:ext cx="26" cy="29"/>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O</a:t>
            </a:r>
          </a:p>
        </xdr:txBody>
      </xdr:sp>
    </xdr:grpSp>
    <xdr:clientData/>
  </xdr:twoCellAnchor>
  <xdr:twoCellAnchor>
    <xdr:from>
      <xdr:col>23</xdr:col>
      <xdr:colOff>209550</xdr:colOff>
      <xdr:row>25</xdr:row>
      <xdr:rowOff>9525</xdr:rowOff>
    </xdr:from>
    <xdr:to>
      <xdr:col>26</xdr:col>
      <xdr:colOff>304800</xdr:colOff>
      <xdr:row>33</xdr:row>
      <xdr:rowOff>95250</xdr:rowOff>
    </xdr:to>
    <xdr:sp>
      <xdr:nvSpPr>
        <xdr:cNvPr id="17" name="Rectangle 67"/>
        <xdr:cNvSpPr>
          <a:spLocks/>
        </xdr:cNvSpPr>
      </xdr:nvSpPr>
      <xdr:spPr>
        <a:xfrm>
          <a:off x="12725400" y="4124325"/>
          <a:ext cx="1714500" cy="1381125"/>
        </a:xfrm>
        <a:prstGeom prst="rect">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24</xdr:col>
      <xdr:colOff>400050</xdr:colOff>
      <xdr:row>28</xdr:row>
      <xdr:rowOff>57150</xdr:rowOff>
    </xdr:from>
    <xdr:ext cx="219075" cy="247650"/>
    <xdr:sp>
      <xdr:nvSpPr>
        <xdr:cNvPr id="18" name="TextBox 69"/>
        <xdr:cNvSpPr txBox="1">
          <a:spLocks noChangeArrowheads="1"/>
        </xdr:cNvSpPr>
      </xdr:nvSpPr>
      <xdr:spPr>
        <a:xfrm>
          <a:off x="13392150" y="4657725"/>
          <a:ext cx="219075" cy="24765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O</a:t>
          </a:r>
        </a:p>
      </xdr:txBody>
    </xdr:sp>
    <xdr:clientData/>
  </xdr:oneCellAnchor>
  <xdr:twoCellAnchor editAs="oneCell">
    <xdr:from>
      <xdr:col>30</xdr:col>
      <xdr:colOff>28575</xdr:colOff>
      <xdr:row>1</xdr:row>
      <xdr:rowOff>76200</xdr:rowOff>
    </xdr:from>
    <xdr:to>
      <xdr:col>39</xdr:col>
      <xdr:colOff>133350</xdr:colOff>
      <xdr:row>17</xdr:row>
      <xdr:rowOff>114300</xdr:rowOff>
    </xdr:to>
    <xdr:pic>
      <xdr:nvPicPr>
        <xdr:cNvPr id="19" name="Picture 74"/>
        <xdr:cNvPicPr preferRelativeResize="1">
          <a:picLocks noChangeAspect="1"/>
        </xdr:cNvPicPr>
      </xdr:nvPicPr>
      <xdr:blipFill>
        <a:blip r:embed="rId3"/>
        <a:stretch>
          <a:fillRect/>
        </a:stretch>
      </xdr:blipFill>
      <xdr:spPr>
        <a:xfrm>
          <a:off x="16573500" y="304800"/>
          <a:ext cx="5419725" cy="2628900"/>
        </a:xfrm>
        <a:prstGeom prst="rect">
          <a:avLst/>
        </a:prstGeom>
        <a:noFill/>
        <a:ln w="9525" cmpd="sng">
          <a:noFill/>
        </a:ln>
      </xdr:spPr>
    </xdr:pic>
    <xdr:clientData/>
  </xdr:twoCellAnchor>
  <xdr:twoCellAnchor editAs="oneCell">
    <xdr:from>
      <xdr:col>39</xdr:col>
      <xdr:colOff>304800</xdr:colOff>
      <xdr:row>2</xdr:row>
      <xdr:rowOff>19050</xdr:rowOff>
    </xdr:from>
    <xdr:to>
      <xdr:col>45</xdr:col>
      <xdr:colOff>581025</xdr:colOff>
      <xdr:row>17</xdr:row>
      <xdr:rowOff>85725</xdr:rowOff>
    </xdr:to>
    <xdr:pic>
      <xdr:nvPicPr>
        <xdr:cNvPr id="20" name="Picture 76"/>
        <xdr:cNvPicPr preferRelativeResize="1">
          <a:picLocks noChangeAspect="1"/>
        </xdr:cNvPicPr>
      </xdr:nvPicPr>
      <xdr:blipFill>
        <a:blip r:embed="rId4"/>
        <a:stretch>
          <a:fillRect/>
        </a:stretch>
      </xdr:blipFill>
      <xdr:spPr>
        <a:xfrm>
          <a:off x="22164675" y="409575"/>
          <a:ext cx="3819525" cy="2495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2.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5.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6.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7.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8.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9.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H31"/>
  <sheetViews>
    <sheetView showGridLines="0" tabSelected="1" zoomScale="90" zoomScaleNormal="90" workbookViewId="0" topLeftCell="A1">
      <selection activeCell="A2" sqref="A2"/>
    </sheetView>
  </sheetViews>
  <sheetFormatPr defaultColWidth="9.140625" defaultRowHeight="12.75"/>
  <cols>
    <col min="1" max="1" width="16.421875" style="20" customWidth="1"/>
    <col min="2" max="2" width="11.421875" style="20" customWidth="1"/>
    <col min="3" max="3" width="8.8515625" style="20" customWidth="1"/>
    <col min="4" max="4" width="3.421875" style="20" customWidth="1"/>
    <col min="5" max="5" width="21.57421875" style="20" customWidth="1"/>
    <col min="6" max="16384" width="8.8515625" style="20" customWidth="1"/>
  </cols>
  <sheetData>
    <row r="1" spans="1:2" ht="18.75" customHeight="1">
      <c r="A1" s="41" t="s">
        <v>0</v>
      </c>
      <c r="B1" s="41"/>
    </row>
    <row r="2" s="42" customFormat="1" ht="12" customHeight="1"/>
    <row r="3" spans="1:2" ht="15">
      <c r="A3" s="107" t="s">
        <v>1</v>
      </c>
      <c r="B3" s="43"/>
    </row>
    <row r="4" spans="1:2" ht="12.75" customHeight="1">
      <c r="A4" s="42" t="s">
        <v>2</v>
      </c>
      <c r="B4" s="42"/>
    </row>
    <row r="5" ht="12.75">
      <c r="A5" s="20" t="s">
        <v>395</v>
      </c>
    </row>
    <row r="6" spans="1:2" ht="14.25" customHeight="1">
      <c r="A6" s="44" t="s">
        <v>3</v>
      </c>
      <c r="B6" s="44"/>
    </row>
    <row r="7" ht="14.25" customHeight="1"/>
    <row r="8" spans="1:5" ht="12.75">
      <c r="A8" s="45"/>
      <c r="B8" s="45"/>
      <c r="E8" s="45"/>
    </row>
    <row r="9" ht="12.75"/>
    <row r="10" spans="2:5" ht="12.75">
      <c r="B10" s="37"/>
      <c r="E10" s="71" t="s">
        <v>264</v>
      </c>
    </row>
    <row r="11" spans="2:5" ht="12.75">
      <c r="B11" s="37"/>
      <c r="E11" s="38" t="s">
        <v>4</v>
      </c>
    </row>
    <row r="12" spans="2:5" ht="12.75">
      <c r="B12" s="37"/>
      <c r="E12" s="38" t="s">
        <v>5</v>
      </c>
    </row>
    <row r="13" spans="2:5" ht="12.75">
      <c r="B13" s="37"/>
      <c r="E13" s="38" t="s">
        <v>6</v>
      </c>
    </row>
    <row r="14" spans="2:5" ht="12.75">
      <c r="B14" s="37"/>
      <c r="E14" s="38" t="s">
        <v>7</v>
      </c>
    </row>
    <row r="15" spans="2:5" ht="12.75">
      <c r="B15" s="37"/>
      <c r="E15" s="38" t="s">
        <v>8</v>
      </c>
    </row>
    <row r="16" spans="2:5" ht="12.75">
      <c r="B16" s="37"/>
      <c r="E16" s="38" t="s">
        <v>9</v>
      </c>
    </row>
    <row r="17" spans="2:5" ht="12.75">
      <c r="B17" s="37"/>
      <c r="E17" s="38" t="s">
        <v>10</v>
      </c>
    </row>
    <row r="18" ht="12.75">
      <c r="B18" s="37"/>
    </row>
    <row r="19" spans="1:8" s="45" customFormat="1" ht="16.5" customHeight="1">
      <c r="A19" s="46" t="s">
        <v>11</v>
      </c>
      <c r="B19" s="47"/>
      <c r="D19" s="48" t="s">
        <v>12</v>
      </c>
      <c r="E19" s="47"/>
      <c r="H19" s="46" t="s">
        <v>13</v>
      </c>
    </row>
    <row r="20" ht="12.75"/>
    <row r="21" ht="12.75"/>
    <row r="22" ht="12.75"/>
    <row r="23" ht="12.75"/>
    <row r="24" ht="12.75"/>
    <row r="25" ht="12.75"/>
    <row r="26" spans="1:6" ht="12.75">
      <c r="A26" s="49" t="s">
        <v>14</v>
      </c>
      <c r="B26" s="20" t="s">
        <v>15</v>
      </c>
      <c r="C26" s="20" t="s">
        <v>397</v>
      </c>
      <c r="E26" s="49" t="s">
        <v>16</v>
      </c>
      <c r="F26" s="58" t="s">
        <v>17</v>
      </c>
    </row>
    <row r="27" spans="2:3" ht="12.75">
      <c r="B27" s="20" t="s">
        <v>396</v>
      </c>
      <c r="C27" s="20" t="s">
        <v>18</v>
      </c>
    </row>
    <row r="29" ht="12.75">
      <c r="A29" s="20" t="s">
        <v>388</v>
      </c>
    </row>
    <row r="30" ht="12.75">
      <c r="A30" s="20" t="s">
        <v>389</v>
      </c>
    </row>
    <row r="31" ht="12.75">
      <c r="A31" s="20" t="s">
        <v>390</v>
      </c>
    </row>
  </sheetData>
  <sheetProtection sheet="1" objects="1" scenarios="1"/>
  <printOptions/>
  <pageMargins left="0.75" right="0.75" top="1" bottom="1" header="0.5" footer="0.5"/>
  <pageSetup horizontalDpi="300" verticalDpi="300" orientation="portrait" paperSize="9" r:id="rId4"/>
  <headerFooter alignWithMargins="0">
    <oddHeader>&amp;C&amp;A</oddHeader>
    <oddFooter>&amp;CPage &amp;P</oddFooter>
  </headerFooter>
  <drawing r:id="rId3"/>
  <legacyDrawing r:id="rId2"/>
</worksheet>
</file>

<file path=xl/worksheets/sheet10.xml><?xml version="1.0" encoding="utf-8"?>
<worksheet xmlns="http://schemas.openxmlformats.org/spreadsheetml/2006/main" xmlns:r="http://schemas.openxmlformats.org/officeDocument/2006/relationships">
  <sheetPr codeName="Sheet12">
    <pageSetUpPr fitToPage="1"/>
  </sheetPr>
  <dimension ref="A1:N151"/>
  <sheetViews>
    <sheetView showGridLines="0" zoomScale="90" zoomScaleNormal="90" workbookViewId="0" topLeftCell="A1">
      <selection activeCell="A2" sqref="A2"/>
    </sheetView>
  </sheetViews>
  <sheetFormatPr defaultColWidth="9.140625" defaultRowHeight="12.75"/>
  <cols>
    <col min="1" max="1" width="27.7109375" style="56" customWidth="1"/>
    <col min="2" max="2" width="10.28125" style="20" customWidth="1"/>
    <col min="3" max="3" width="9.421875" style="20" customWidth="1"/>
    <col min="4" max="4" width="11.7109375" style="20" customWidth="1"/>
    <col min="5" max="5" width="8.00390625" style="20" customWidth="1"/>
    <col min="6" max="6" width="9.421875" style="20" customWidth="1"/>
    <col min="7" max="7" width="10.140625" style="20" customWidth="1"/>
    <col min="8" max="8" width="10.8515625" style="20" customWidth="1"/>
    <col min="9" max="9" width="0" style="20" hidden="1" customWidth="1"/>
    <col min="10" max="10" width="6.28125" style="52" hidden="1" customWidth="1"/>
    <col min="11" max="12" width="5.140625" style="52" hidden="1" customWidth="1"/>
    <col min="13" max="15" width="8.8515625" style="20" customWidth="1"/>
    <col min="16" max="16" width="13.421875" style="20" customWidth="1"/>
    <col min="17" max="17" width="10.57421875" style="20" customWidth="1"/>
    <col min="18" max="16384" width="8.8515625" style="20" customWidth="1"/>
  </cols>
  <sheetData>
    <row r="1" spans="1:2" ht="18">
      <c r="A1" s="75" t="str">
        <f>Inhoud!E17</f>
        <v>Variant VII</v>
      </c>
      <c r="B1" s="100" t="s">
        <v>41</v>
      </c>
    </row>
    <row r="2" ht="12.75"/>
    <row r="3" ht="12.75">
      <c r="A3" s="62" t="str">
        <f>Huidig!A3</f>
        <v>Terug naar inhoud:</v>
      </c>
    </row>
    <row r="4" ht="12.75">
      <c r="A4" s="55" t="s">
        <v>42</v>
      </c>
    </row>
    <row r="5" ht="12.75">
      <c r="A5" s="55" t="s">
        <v>20</v>
      </c>
    </row>
    <row r="6" ht="12.75">
      <c r="A6" s="56" t="s">
        <v>320</v>
      </c>
    </row>
    <row r="7" ht="12.75">
      <c r="A7" s="56" t="s">
        <v>321</v>
      </c>
    </row>
    <row r="8" ht="12.75">
      <c r="A8" s="56" t="s">
        <v>322</v>
      </c>
    </row>
    <row r="9" ht="12.75">
      <c r="A9" s="56" t="s">
        <v>323</v>
      </c>
    </row>
    <row r="10" ht="12.75">
      <c r="A10" s="56" t="s">
        <v>382</v>
      </c>
    </row>
    <row r="11" ht="12.75">
      <c r="A11" s="56" t="s">
        <v>316</v>
      </c>
    </row>
    <row r="12" ht="12.75">
      <c r="A12" s="56" t="s">
        <v>406</v>
      </c>
    </row>
    <row r="13" ht="12.75">
      <c r="A13" s="56" t="s">
        <v>317</v>
      </c>
    </row>
    <row r="14" ht="12.75"/>
    <row r="15" ht="12.75">
      <c r="A15" s="55" t="s">
        <v>296</v>
      </c>
    </row>
    <row r="16" ht="12.75">
      <c r="A16" s="56" t="s">
        <v>277</v>
      </c>
    </row>
    <row r="17" ht="12.75"/>
    <row r="18" ht="12.75"/>
    <row r="19" spans="1:12" s="176" customFormat="1" ht="12.75">
      <c r="A19" s="175"/>
      <c r="J19" s="177"/>
      <c r="K19" s="177"/>
      <c r="L19" s="177"/>
    </row>
    <row r="20" spans="1:12" s="76" customFormat="1" ht="12.75">
      <c r="A20" s="166"/>
      <c r="J20" s="167"/>
      <c r="K20" s="167"/>
      <c r="L20" s="167"/>
    </row>
    <row r="21" ht="12.75">
      <c r="A21" s="55" t="str">
        <f>A1</f>
        <v>Variant VII</v>
      </c>
    </row>
    <row r="22" ht="12.75">
      <c r="A22" s="55" t="str">
        <f>A6</f>
        <v>M1 grondkwaliteit</v>
      </c>
    </row>
    <row r="23" spans="1:12" s="19" customFormat="1" ht="24" customHeight="1">
      <c r="A23" s="170" t="str">
        <f>Huidig!A24</f>
        <v>Verontreinigende stof</v>
      </c>
      <c r="B23" s="132" t="str">
        <f>Huidig!B24</f>
        <v>s' [mg/kg]</v>
      </c>
      <c r="C23" s="132" t="str">
        <f>Huidig!C24</f>
        <v>i' [mg/kg]</v>
      </c>
      <c r="D23" s="132" t="s">
        <v>418</v>
      </c>
      <c r="E23" s="132" t="str">
        <f>Huidig!G24</f>
        <v>lut. [%]</v>
      </c>
      <c r="F23" s="132" t="s">
        <v>43</v>
      </c>
      <c r="G23" s="132" t="str">
        <f>Huidig!I24</f>
        <v>Grond- kubels [m3]</v>
      </c>
      <c r="H23" s="132" t="s">
        <v>329</v>
      </c>
      <c r="J23" s="131" t="str">
        <f>Huidig!L24</f>
        <v>s</v>
      </c>
      <c r="K23" s="131" t="str">
        <f>Huidig!M24</f>
        <v>i</v>
      </c>
      <c r="L23" s="131" t="str">
        <f>Huidig!N24</f>
        <v>t'</v>
      </c>
    </row>
    <row r="24" spans="1:12" ht="12.75">
      <c r="A24" s="165">
        <f>IF(Huidig!$O25&gt;1,INDEX(Normen!$A$12:$C$128,Huidig!$O25,1),"")</f>
      </c>
      <c r="B24" s="69">
        <f aca="true" t="shared" si="0" ref="B24:B34">J24</f>
        <v>0</v>
      </c>
      <c r="C24" s="69">
        <f aca="true" t="shared" si="1" ref="C24:C34">K24</f>
        <v>0</v>
      </c>
      <c r="D24" s="38">
        <f>30*Huidig!D25</f>
        <v>0</v>
      </c>
      <c r="E24" s="68">
        <f>Huidig!G25</f>
        <v>25</v>
      </c>
      <c r="F24" s="68">
        <f>Huidig!S25</f>
        <v>10</v>
      </c>
      <c r="G24" s="71">
        <f>IF(D24&gt;0,1000000*D24/(30*L24),0)</f>
        <v>0</v>
      </c>
      <c r="H24" s="71">
        <f>Huidig!J25-0.0000017*D24/30</f>
        <v>0</v>
      </c>
      <c r="J24" s="77">
        <f>Huidig!B25</f>
        <v>0</v>
      </c>
      <c r="K24" s="77">
        <f>Huidig!C25</f>
        <v>0</v>
      </c>
      <c r="L24" s="77">
        <f>Huidig!N25</f>
        <v>0</v>
      </c>
    </row>
    <row r="25" spans="1:12" ht="12.75">
      <c r="A25" s="165">
        <f>IF(Huidig!$O26&gt;1,INDEX(Normen!$A$12:$C$128,Huidig!$O26,1),"")</f>
      </c>
      <c r="B25" s="69">
        <f t="shared" si="0"/>
        <v>0</v>
      </c>
      <c r="C25" s="69">
        <f t="shared" si="1"/>
        <v>0</v>
      </c>
      <c r="D25" s="38">
        <f>30*Huidig!D26</f>
        <v>0</v>
      </c>
      <c r="E25" s="68">
        <f>Huidig!G26</f>
        <v>25</v>
      </c>
      <c r="F25" s="68">
        <f>Huidig!S26</f>
        <v>10</v>
      </c>
      <c r="G25" s="71">
        <f aca="true" t="shared" si="2" ref="G25:G34">IF(D25&gt;0,1000000*D25/(30*L25),0)</f>
        <v>0</v>
      </c>
      <c r="H25" s="71">
        <f>Huidig!J26-0.0000017*D25/30</f>
        <v>0</v>
      </c>
      <c r="J25" s="77">
        <f>Huidig!B26</f>
        <v>0</v>
      </c>
      <c r="K25" s="77">
        <f>Huidig!C26</f>
        <v>0</v>
      </c>
      <c r="L25" s="77">
        <f>Huidig!N26</f>
        <v>0</v>
      </c>
    </row>
    <row r="26" spans="1:12" ht="12.75">
      <c r="A26" s="165">
        <f>IF(Huidig!$O27&gt;1,INDEX(Normen!$A$12:$C$128,Huidig!$O27,1),"")</f>
      </c>
      <c r="B26" s="69">
        <f t="shared" si="0"/>
        <v>0</v>
      </c>
      <c r="C26" s="69">
        <f t="shared" si="1"/>
        <v>0</v>
      </c>
      <c r="D26" s="38">
        <f>30*Huidig!D27</f>
        <v>0</v>
      </c>
      <c r="E26" s="68">
        <f>Huidig!G27</f>
        <v>25</v>
      </c>
      <c r="F26" s="68">
        <f>Huidig!S27</f>
        <v>10</v>
      </c>
      <c r="G26" s="71">
        <f t="shared" si="2"/>
        <v>0</v>
      </c>
      <c r="H26" s="71">
        <f>Huidig!J27-0.0000017*D26/30</f>
        <v>0</v>
      </c>
      <c r="J26" s="77">
        <f>Huidig!B27</f>
        <v>0</v>
      </c>
      <c r="K26" s="77">
        <f>Huidig!C27</f>
        <v>0</v>
      </c>
      <c r="L26" s="77">
        <f>Huidig!N27</f>
        <v>0</v>
      </c>
    </row>
    <row r="27" spans="1:12" ht="12.75">
      <c r="A27" s="165">
        <f>IF(Huidig!$O28&gt;1,INDEX(Normen!$A$12:$C$128,Huidig!$O28,1),"")</f>
      </c>
      <c r="B27" s="69">
        <f t="shared" si="0"/>
        <v>0</v>
      </c>
      <c r="C27" s="69">
        <f t="shared" si="1"/>
        <v>0</v>
      </c>
      <c r="D27" s="38">
        <f>30*Huidig!D28</f>
        <v>0</v>
      </c>
      <c r="E27" s="68">
        <f>Huidig!G28</f>
        <v>25</v>
      </c>
      <c r="F27" s="68">
        <f>Huidig!S28</f>
        <v>10</v>
      </c>
      <c r="G27" s="71">
        <f t="shared" si="2"/>
        <v>0</v>
      </c>
      <c r="H27" s="71">
        <f>Huidig!J28-0.0000017*D27/30</f>
        <v>0</v>
      </c>
      <c r="J27" s="77">
        <f>Huidig!B28</f>
        <v>0</v>
      </c>
      <c r="K27" s="77">
        <f>Huidig!C28</f>
        <v>0</v>
      </c>
      <c r="L27" s="77">
        <f>Huidig!N28</f>
        <v>0</v>
      </c>
    </row>
    <row r="28" spans="1:12" ht="12.75">
      <c r="A28" s="165">
        <f>IF(Huidig!$O29&gt;1,INDEX(Normen!$A$12:$C$128,Huidig!$O29,1),"")</f>
      </c>
      <c r="B28" s="69">
        <f t="shared" si="0"/>
        <v>0</v>
      </c>
      <c r="C28" s="69">
        <f t="shared" si="1"/>
        <v>0</v>
      </c>
      <c r="D28" s="38">
        <f>30*Huidig!D29</f>
        <v>0</v>
      </c>
      <c r="E28" s="68">
        <f>Huidig!G29</f>
        <v>25</v>
      </c>
      <c r="F28" s="68">
        <f>Huidig!S29</f>
        <v>10</v>
      </c>
      <c r="G28" s="71">
        <f t="shared" si="2"/>
        <v>0</v>
      </c>
      <c r="H28" s="71">
        <f>Huidig!J29-0.0000017*D28/30</f>
        <v>0</v>
      </c>
      <c r="J28" s="77">
        <f>Huidig!B29</f>
        <v>0</v>
      </c>
      <c r="K28" s="77">
        <f>Huidig!C29</f>
        <v>0</v>
      </c>
      <c r="L28" s="77">
        <f>Huidig!N29</f>
        <v>0</v>
      </c>
    </row>
    <row r="29" spans="1:12" ht="12.75">
      <c r="A29" s="165">
        <f>IF(Huidig!$O30&gt;1,INDEX(Normen!$A$12:$C$128,Huidig!$O30,1),"")</f>
      </c>
      <c r="B29" s="69">
        <f t="shared" si="0"/>
        <v>0</v>
      </c>
      <c r="C29" s="69">
        <f t="shared" si="1"/>
        <v>0</v>
      </c>
      <c r="D29" s="38">
        <f>30*Huidig!D30</f>
        <v>0</v>
      </c>
      <c r="E29" s="68">
        <f>Huidig!G30</f>
        <v>25</v>
      </c>
      <c r="F29" s="68">
        <f>Huidig!S30</f>
        <v>10</v>
      </c>
      <c r="G29" s="71">
        <f t="shared" si="2"/>
        <v>0</v>
      </c>
      <c r="H29" s="71">
        <f>Huidig!J30-0.0000017*D29/30</f>
        <v>0</v>
      </c>
      <c r="J29" s="77">
        <f>Huidig!B30</f>
        <v>0</v>
      </c>
      <c r="K29" s="77">
        <f>Huidig!C30</f>
        <v>0</v>
      </c>
      <c r="L29" s="77">
        <f>Huidig!N30</f>
        <v>0</v>
      </c>
    </row>
    <row r="30" spans="1:12" ht="12.75">
      <c r="A30" s="165">
        <f>IF(Huidig!$O31&gt;1,INDEX(Normen!$A$12:$C$128,Huidig!$O31,1),"")</f>
      </c>
      <c r="B30" s="69">
        <f t="shared" si="0"/>
        <v>0</v>
      </c>
      <c r="C30" s="69">
        <f t="shared" si="1"/>
        <v>0</v>
      </c>
      <c r="D30" s="38">
        <f>30*Huidig!D31</f>
        <v>0</v>
      </c>
      <c r="E30" s="68">
        <f>Huidig!G31</f>
        <v>25</v>
      </c>
      <c r="F30" s="68">
        <f>Huidig!S31</f>
        <v>10</v>
      </c>
      <c r="G30" s="71">
        <f t="shared" si="2"/>
        <v>0</v>
      </c>
      <c r="H30" s="71">
        <f>Huidig!J31-0.0000017*D30/30</f>
        <v>0</v>
      </c>
      <c r="J30" s="77">
        <f>Huidig!B31</f>
        <v>0</v>
      </c>
      <c r="K30" s="77">
        <f>Huidig!C31</f>
        <v>0</v>
      </c>
      <c r="L30" s="77">
        <f>Huidig!N31</f>
        <v>0</v>
      </c>
    </row>
    <row r="31" spans="1:12" ht="12.75">
      <c r="A31" s="165">
        <f>IF(Huidig!$O32&gt;1,INDEX(Normen!$A$12:$C$128,Huidig!$O32,1),"")</f>
      </c>
      <c r="B31" s="69">
        <f t="shared" si="0"/>
        <v>0</v>
      </c>
      <c r="C31" s="69">
        <f t="shared" si="1"/>
        <v>0</v>
      </c>
      <c r="D31" s="38">
        <f>30*Huidig!D32</f>
        <v>0</v>
      </c>
      <c r="E31" s="68">
        <f>Huidig!G32</f>
        <v>25</v>
      </c>
      <c r="F31" s="68">
        <f>Huidig!S32</f>
        <v>10</v>
      </c>
      <c r="G31" s="71">
        <f t="shared" si="2"/>
        <v>0</v>
      </c>
      <c r="H31" s="71">
        <f>Huidig!J32-0.0000017*D31/30</f>
        <v>0</v>
      </c>
      <c r="J31" s="77">
        <f>Huidig!B32</f>
        <v>0</v>
      </c>
      <c r="K31" s="77">
        <f>Huidig!C32</f>
        <v>0</v>
      </c>
      <c r="L31" s="77">
        <f>Huidig!N32</f>
        <v>0</v>
      </c>
    </row>
    <row r="32" spans="1:12" ht="12.75">
      <c r="A32" s="165">
        <f>IF(Huidig!A33="Type een verontreiniging:","",Huidig!A33)</f>
      </c>
      <c r="B32" s="69">
        <f t="shared" si="0"/>
        <v>0</v>
      </c>
      <c r="C32" s="69">
        <f t="shared" si="1"/>
        <v>0</v>
      </c>
      <c r="D32" s="38">
        <f>30*Huidig!D33</f>
        <v>0</v>
      </c>
      <c r="E32" s="68"/>
      <c r="F32" s="68"/>
      <c r="G32" s="71">
        <f t="shared" si="2"/>
        <v>0</v>
      </c>
      <c r="H32" s="71">
        <f>Huidig!J33-0.0000017*D32/30</f>
        <v>0</v>
      </c>
      <c r="J32" s="77">
        <f>Huidig!B33</f>
        <v>0</v>
      </c>
      <c r="K32" s="77">
        <f>Huidig!C33</f>
        <v>0</v>
      </c>
      <c r="L32" s="77">
        <f>Huidig!N33</f>
        <v>0</v>
      </c>
    </row>
    <row r="33" spans="1:12" ht="12.75">
      <c r="A33" s="165">
        <f>IF(Huidig!A34="Type een verontreiniging:","",Huidig!A34)</f>
      </c>
      <c r="B33" s="69">
        <f t="shared" si="0"/>
        <v>0</v>
      </c>
      <c r="C33" s="69">
        <f t="shared" si="1"/>
        <v>0</v>
      </c>
      <c r="D33" s="38">
        <f>30*Huidig!D34</f>
        <v>0</v>
      </c>
      <c r="E33" s="68"/>
      <c r="F33" s="68"/>
      <c r="G33" s="71">
        <f t="shared" si="2"/>
        <v>0</v>
      </c>
      <c r="H33" s="71">
        <f>Huidig!J34-0.0000017*D33/30</f>
        <v>0</v>
      </c>
      <c r="J33" s="77">
        <f>Huidig!B34</f>
        <v>0</v>
      </c>
      <c r="K33" s="77">
        <f>Huidig!C34</f>
        <v>0</v>
      </c>
      <c r="L33" s="77">
        <f>Huidig!N34</f>
        <v>0</v>
      </c>
    </row>
    <row r="34" spans="1:12" ht="12.75">
      <c r="A34" s="165">
        <f>IF(Huidig!A35="Type een verontreiniging:","",Huidig!A35)</f>
      </c>
      <c r="B34" s="69">
        <f t="shared" si="0"/>
        <v>0</v>
      </c>
      <c r="C34" s="69">
        <f t="shared" si="1"/>
        <v>0</v>
      </c>
      <c r="D34" s="38">
        <f>30*Huidig!D35</f>
        <v>0</v>
      </c>
      <c r="E34" s="68"/>
      <c r="F34" s="68"/>
      <c r="G34" s="71">
        <f t="shared" si="2"/>
        <v>0</v>
      </c>
      <c r="H34" s="71">
        <f>Huidig!J35-0.0000017*D34/30</f>
        <v>0</v>
      </c>
      <c r="J34" s="77">
        <f>Huidig!B35</f>
        <v>0</v>
      </c>
      <c r="K34" s="77">
        <f>Huidig!C35</f>
        <v>0</v>
      </c>
      <c r="L34" s="77">
        <f>Huidig!N35</f>
        <v>0</v>
      </c>
    </row>
    <row r="35" spans="1:12" ht="12.75">
      <c r="A35" s="136" t="s">
        <v>36</v>
      </c>
      <c r="B35" s="68"/>
      <c r="C35" s="68"/>
      <c r="D35" s="68"/>
      <c r="E35" s="68"/>
      <c r="F35" s="68"/>
      <c r="G35" s="84">
        <f>SUM(G24:G34)</f>
        <v>0</v>
      </c>
      <c r="H35" s="68"/>
      <c r="J35" s="77"/>
      <c r="K35" s="77"/>
      <c r="L35" s="77"/>
    </row>
    <row r="36" spans="1:12" ht="12.75">
      <c r="A36" s="136" t="str">
        <f>A22</f>
        <v>M1 grondkwaliteit</v>
      </c>
      <c r="B36" s="74">
        <f>Huidig!I36-VII!G35</f>
        <v>0</v>
      </c>
      <c r="C36" s="68"/>
      <c r="D36" s="68"/>
      <c r="E36" s="68"/>
      <c r="F36" s="68"/>
      <c r="G36" s="68"/>
      <c r="H36" s="68"/>
      <c r="J36" s="77"/>
      <c r="K36" s="77"/>
      <c r="L36" s="77"/>
    </row>
    <row r="37" spans="10:12" ht="12.75">
      <c r="J37" s="77"/>
      <c r="K37" s="77"/>
      <c r="L37" s="77"/>
    </row>
    <row r="38" spans="1:12" ht="12.75">
      <c r="A38" s="20"/>
      <c r="J38" s="77"/>
      <c r="K38" s="77"/>
      <c r="L38" s="77"/>
    </row>
    <row r="39" spans="1:12" ht="12.75">
      <c r="A39" s="55" t="str">
        <f>A1</f>
        <v>Variant VII</v>
      </c>
      <c r="J39" s="77"/>
      <c r="K39" s="77"/>
      <c r="L39" s="77"/>
    </row>
    <row r="40" spans="1:12" ht="12.75">
      <c r="A40" s="55" t="str">
        <f>A7</f>
        <v>M2 grondwaterkwaliteit</v>
      </c>
      <c r="J40" s="77"/>
      <c r="K40" s="77"/>
      <c r="L40" s="77"/>
    </row>
    <row r="41" spans="1:12" s="19" customFormat="1" ht="38.25" customHeight="1">
      <c r="A41" s="170" t="str">
        <f>Huidig!A42</f>
        <v>Verontreinigende stof</v>
      </c>
      <c r="B41" s="132" t="str">
        <f>Huidig!B42</f>
        <v>s [ug/l]</v>
      </c>
      <c r="C41" s="132" t="str">
        <f>Huidig!C42</f>
        <v>i [ug/l]</v>
      </c>
      <c r="D41" s="132" t="s">
        <v>418</v>
      </c>
      <c r="E41" s="132" t="str">
        <f>Huidig!I42</f>
        <v>Water-kubels [m3]</v>
      </c>
      <c r="J41" s="133" t="str">
        <f>Huidig!M42</f>
        <v>t</v>
      </c>
      <c r="K41" s="134"/>
      <c r="L41" s="78"/>
    </row>
    <row r="42" spans="1:11" ht="12.75">
      <c r="A42" s="165">
        <f>IF(Huidig!$P43&gt;1,INDEX(Normen!$A$12:$C$128,Huidig!$P43,1),"")</f>
      </c>
      <c r="B42" s="68">
        <f>Huidig!B43</f>
        <v>0</v>
      </c>
      <c r="C42" s="68">
        <f>Huidig!C43</f>
        <v>0</v>
      </c>
      <c r="D42" s="38">
        <f>30*Huidig!D43</f>
        <v>0</v>
      </c>
      <c r="E42" s="68">
        <f>IF(D42&gt;0,1000000000*D42/(30*J42),0)</f>
        <v>0</v>
      </c>
      <c r="F42" s="61"/>
      <c r="J42" s="77">
        <f aca="true" t="shared" si="3" ref="J42:J52">0.5*(B42+C42)</f>
        <v>0</v>
      </c>
      <c r="K42" s="77"/>
    </row>
    <row r="43" spans="1:11" ht="12.75">
      <c r="A43" s="165">
        <f>IF(Huidig!$P44&gt;1,INDEX(Normen!$A$12:$C$128,Huidig!$P44,1),"")</f>
      </c>
      <c r="B43" s="68">
        <f>Huidig!B44</f>
        <v>0</v>
      </c>
      <c r="C43" s="68">
        <f>Huidig!C44</f>
        <v>0</v>
      </c>
      <c r="D43" s="38">
        <f>30*Huidig!D44</f>
        <v>0</v>
      </c>
      <c r="E43" s="68">
        <f aca="true" t="shared" si="4" ref="E43:E52">IF(D43&gt;0,1000000000*D43/(30*J43),0)</f>
        <v>0</v>
      </c>
      <c r="F43" s="61"/>
      <c r="J43" s="77">
        <f t="shared" si="3"/>
        <v>0</v>
      </c>
      <c r="K43" s="77"/>
    </row>
    <row r="44" spans="1:11" ht="12.75">
      <c r="A44" s="165">
        <f>IF(Huidig!$P45&gt;1,INDEX(Normen!$A$12:$C$128,Huidig!$P45,1),"")</f>
      </c>
      <c r="B44" s="68">
        <f>Huidig!B45</f>
        <v>0</v>
      </c>
      <c r="C44" s="68">
        <f>Huidig!C45</f>
        <v>0</v>
      </c>
      <c r="D44" s="38">
        <f>30*Huidig!D45</f>
        <v>0</v>
      </c>
      <c r="E44" s="68">
        <f t="shared" si="4"/>
        <v>0</v>
      </c>
      <c r="F44" s="61"/>
      <c r="J44" s="77">
        <f t="shared" si="3"/>
        <v>0</v>
      </c>
      <c r="K44" s="77"/>
    </row>
    <row r="45" spans="1:11" ht="12.75">
      <c r="A45" s="165">
        <f>IF(Huidig!$P46&gt;1,INDEX(Normen!$A$12:$C$128,Huidig!$P46,1),"")</f>
      </c>
      <c r="B45" s="68">
        <f>Huidig!B46</f>
        <v>0</v>
      </c>
      <c r="C45" s="68">
        <f>Huidig!C46</f>
        <v>0</v>
      </c>
      <c r="D45" s="38">
        <f>30*Huidig!D46</f>
        <v>0</v>
      </c>
      <c r="E45" s="68">
        <f t="shared" si="4"/>
        <v>0</v>
      </c>
      <c r="F45" s="61"/>
      <c r="J45" s="77">
        <f t="shared" si="3"/>
        <v>0</v>
      </c>
      <c r="K45" s="77"/>
    </row>
    <row r="46" spans="1:11" ht="12.75">
      <c r="A46" s="165">
        <f>IF(Huidig!$P47&gt;1,INDEX(Normen!$A$12:$C$128,Huidig!$P47,1),"")</f>
      </c>
      <c r="B46" s="68">
        <f>Huidig!B47</f>
        <v>0</v>
      </c>
      <c r="C46" s="68">
        <f>Huidig!C47</f>
        <v>0</v>
      </c>
      <c r="D46" s="38">
        <f>30*Huidig!D47</f>
        <v>0</v>
      </c>
      <c r="E46" s="68">
        <f t="shared" si="4"/>
        <v>0</v>
      </c>
      <c r="F46" s="61"/>
      <c r="J46" s="77">
        <f t="shared" si="3"/>
        <v>0</v>
      </c>
      <c r="K46" s="77"/>
    </row>
    <row r="47" spans="1:11" ht="12.75">
      <c r="A47" s="165">
        <f>IF(Huidig!$P48&gt;1,INDEX(Normen!$A$12:$C$128,Huidig!$P48,1),"")</f>
      </c>
      <c r="B47" s="68">
        <f>Huidig!B48</f>
        <v>0</v>
      </c>
      <c r="C47" s="68">
        <f>Huidig!C48</f>
        <v>0</v>
      </c>
      <c r="D47" s="38">
        <f>30*Huidig!D48</f>
        <v>0</v>
      </c>
      <c r="E47" s="68">
        <f t="shared" si="4"/>
        <v>0</v>
      </c>
      <c r="F47" s="61"/>
      <c r="J47" s="77">
        <f t="shared" si="3"/>
        <v>0</v>
      </c>
      <c r="K47" s="77"/>
    </row>
    <row r="48" spans="1:11" ht="12.75">
      <c r="A48" s="165">
        <f>IF(Huidig!$P49&gt;1,INDEX(Normen!$A$12:$C$128,Huidig!$P49,1),"")</f>
      </c>
      <c r="B48" s="68">
        <f>Huidig!B49</f>
        <v>0</v>
      </c>
      <c r="C48" s="68">
        <f>Huidig!C49</f>
        <v>0</v>
      </c>
      <c r="D48" s="38">
        <f>30*Huidig!D49</f>
        <v>0</v>
      </c>
      <c r="E48" s="68">
        <f t="shared" si="4"/>
        <v>0</v>
      </c>
      <c r="F48" s="61"/>
      <c r="J48" s="77">
        <f t="shared" si="3"/>
        <v>0</v>
      </c>
      <c r="K48" s="77"/>
    </row>
    <row r="49" spans="1:11" ht="12.75">
      <c r="A49" s="165">
        <f>IF(Huidig!$P50&gt;1,INDEX(Normen!$A$12:$C$128,Huidig!$P50,1),"")</f>
      </c>
      <c r="B49" s="68">
        <f>Huidig!B50</f>
        <v>0</v>
      </c>
      <c r="C49" s="68">
        <f>Huidig!C50</f>
        <v>0</v>
      </c>
      <c r="D49" s="38">
        <f>30*Huidig!D50</f>
        <v>0</v>
      </c>
      <c r="E49" s="68">
        <f t="shared" si="4"/>
        <v>0</v>
      </c>
      <c r="F49" s="61"/>
      <c r="J49" s="77">
        <f t="shared" si="3"/>
        <v>0</v>
      </c>
      <c r="K49" s="77"/>
    </row>
    <row r="50" spans="1:11" ht="12.75">
      <c r="A50" s="165">
        <f>IF(Huidig!A51="Type een verontreiniging:","",Huidig!A51)</f>
      </c>
      <c r="B50" s="68">
        <f>Huidig!B51</f>
        <v>0</v>
      </c>
      <c r="C50" s="68">
        <f>Huidig!C51</f>
        <v>0</v>
      </c>
      <c r="D50" s="38">
        <f>30*Huidig!D51</f>
        <v>0</v>
      </c>
      <c r="E50" s="68">
        <f t="shared" si="4"/>
        <v>0</v>
      </c>
      <c r="F50" s="61"/>
      <c r="J50" s="77">
        <f t="shared" si="3"/>
        <v>0</v>
      </c>
      <c r="K50" s="77"/>
    </row>
    <row r="51" spans="1:11" ht="12.75">
      <c r="A51" s="165">
        <f>IF(Huidig!A52="Type een verontreiniging:","",Huidig!A52)</f>
      </c>
      <c r="B51" s="68">
        <f>Huidig!B52</f>
        <v>0</v>
      </c>
      <c r="C51" s="68">
        <f>Huidig!C52</f>
        <v>0</v>
      </c>
      <c r="D51" s="38">
        <f>30*Huidig!D52</f>
        <v>0</v>
      </c>
      <c r="E51" s="68">
        <f t="shared" si="4"/>
        <v>0</v>
      </c>
      <c r="F51" s="61"/>
      <c r="J51" s="77">
        <f t="shared" si="3"/>
        <v>0</v>
      </c>
      <c r="K51" s="77"/>
    </row>
    <row r="52" spans="1:11" ht="12.75">
      <c r="A52" s="165">
        <f>IF(Huidig!A53="Type een verontreiniging:","",Huidig!A53)</f>
      </c>
      <c r="B52" s="68">
        <f>Huidig!B53</f>
        <v>0</v>
      </c>
      <c r="C52" s="68">
        <f>Huidig!C53</f>
        <v>0</v>
      </c>
      <c r="D52" s="38">
        <f>30*Huidig!D53</f>
        <v>0</v>
      </c>
      <c r="E52" s="68">
        <f t="shared" si="4"/>
        <v>0</v>
      </c>
      <c r="F52" s="61"/>
      <c r="J52" s="77">
        <f t="shared" si="3"/>
        <v>0</v>
      </c>
      <c r="K52" s="77"/>
    </row>
    <row r="53" spans="1:12" ht="12.75">
      <c r="A53" s="136" t="s">
        <v>36</v>
      </c>
      <c r="B53" s="68"/>
      <c r="C53" s="68"/>
      <c r="D53" s="68"/>
      <c r="E53" s="84">
        <f>SUM(E42:E52)</f>
        <v>0</v>
      </c>
      <c r="J53" s="77"/>
      <c r="K53" s="77"/>
      <c r="L53" s="77"/>
    </row>
    <row r="54" spans="1:12" ht="12.75">
      <c r="A54" s="136" t="str">
        <f>A40</f>
        <v>M2 grondwaterkwaliteit</v>
      </c>
      <c r="B54" s="74">
        <f>Huidig!I54-VII!E53</f>
        <v>0</v>
      </c>
      <c r="C54" s="68"/>
      <c r="D54" s="68"/>
      <c r="E54" s="68"/>
      <c r="J54" s="77"/>
      <c r="K54" s="77"/>
      <c r="L54" s="77"/>
    </row>
    <row r="55" spans="10:12" ht="12.75">
      <c r="J55" s="77"/>
      <c r="K55" s="77"/>
      <c r="L55" s="77"/>
    </row>
    <row r="56" ht="12.75">
      <c r="A56" s="20"/>
    </row>
    <row r="57" ht="12.75">
      <c r="A57" s="55" t="str">
        <f>A1</f>
        <v>Variant VII</v>
      </c>
    </row>
    <row r="58" ht="12.75">
      <c r="A58" s="55" t="str">
        <f>A8</f>
        <v>M3 verlies grond</v>
      </c>
    </row>
    <row r="59" spans="1:3" ht="12.75">
      <c r="A59" s="165" t="s">
        <v>44</v>
      </c>
      <c r="B59" s="38"/>
      <c r="C59" s="54"/>
    </row>
    <row r="60" spans="1:3" ht="12.75">
      <c r="A60" s="165" t="s">
        <v>45</v>
      </c>
      <c r="B60" s="38"/>
      <c r="C60" s="54"/>
    </row>
    <row r="61" spans="1:3" ht="12.75">
      <c r="A61" s="165"/>
      <c r="B61" s="68"/>
      <c r="C61" s="54"/>
    </row>
    <row r="62" spans="1:2" ht="12.75">
      <c r="A62" s="174" t="str">
        <f>A58</f>
        <v>M3 verlies grond</v>
      </c>
      <c r="B62" s="74">
        <f>B59-B60</f>
        <v>0</v>
      </c>
    </row>
    <row r="63" ht="12.75"/>
    <row r="64" ht="12.75">
      <c r="A64" s="20"/>
    </row>
    <row r="65" ht="12.75">
      <c r="A65" s="55" t="str">
        <f>A1</f>
        <v>Variant VII</v>
      </c>
    </row>
    <row r="66" ht="12.75">
      <c r="A66" s="55" t="str">
        <f>A9</f>
        <v>M4 verlies grondwater</v>
      </c>
    </row>
    <row r="67" spans="1:3" ht="12.75">
      <c r="A67" s="165" t="s">
        <v>46</v>
      </c>
      <c r="B67" s="38"/>
      <c r="C67" s="54"/>
    </row>
    <row r="68" spans="1:3" ht="12.75">
      <c r="A68" s="165" t="s">
        <v>47</v>
      </c>
      <c r="B68" s="38"/>
      <c r="C68" s="54"/>
    </row>
    <row r="69" spans="1:3" ht="12.75">
      <c r="A69" s="165"/>
      <c r="B69" s="68"/>
      <c r="C69" s="54"/>
    </row>
    <row r="70" spans="1:2" ht="12.75">
      <c r="A70" s="136" t="str">
        <f>A66</f>
        <v>M4 verlies grondwater</v>
      </c>
      <c r="B70" s="74">
        <f>B67-B68</f>
        <v>0</v>
      </c>
    </row>
    <row r="71" ht="12.75"/>
    <row r="72" ht="12.75">
      <c r="A72" s="20"/>
    </row>
    <row r="73" ht="12.75">
      <c r="A73" s="55" t="str">
        <f>A1</f>
        <v>Variant VII</v>
      </c>
    </row>
    <row r="74" ht="12.75">
      <c r="A74" s="55" t="str">
        <f>A10</f>
        <v>M5/6 energiegebruik en emissies</v>
      </c>
    </row>
    <row r="75" spans="1:12" s="94" customFormat="1" ht="25.5">
      <c r="A75" s="172" t="s">
        <v>48</v>
      </c>
      <c r="B75" s="96" t="s">
        <v>49</v>
      </c>
      <c r="C75" s="97" t="s">
        <v>325</v>
      </c>
      <c r="D75" s="98" t="s">
        <v>275</v>
      </c>
      <c r="E75" s="99" t="s">
        <v>50</v>
      </c>
      <c r="F75" s="96" t="s">
        <v>51</v>
      </c>
      <c r="G75" s="96" t="s">
        <v>52</v>
      </c>
      <c r="H75" s="96" t="s">
        <v>53</v>
      </c>
      <c r="J75" s="95"/>
      <c r="K75" s="95"/>
      <c r="L75" s="95"/>
    </row>
    <row r="76" spans="1:8" ht="12.75">
      <c r="A76" s="135"/>
      <c r="B76" s="68" t="s">
        <v>54</v>
      </c>
      <c r="C76" s="90"/>
      <c r="D76" s="86"/>
      <c r="E76" s="88"/>
      <c r="F76" s="68"/>
      <c r="G76" s="68"/>
      <c r="H76" s="68"/>
    </row>
    <row r="77" spans="1:8" ht="12.75">
      <c r="A77" s="135" t="s">
        <v>371</v>
      </c>
      <c r="B77" s="68" t="s">
        <v>55</v>
      </c>
      <c r="C77" s="91"/>
      <c r="D77" s="239"/>
      <c r="E77" s="89">
        <v>35</v>
      </c>
      <c r="F77" s="68" t="s">
        <v>56</v>
      </c>
      <c r="G77" s="68">
        <f>C77*E77</f>
        <v>0</v>
      </c>
      <c r="H77" s="68"/>
    </row>
    <row r="78" spans="1:8" ht="12.75">
      <c r="A78" s="135" t="s">
        <v>372</v>
      </c>
      <c r="B78" s="68" t="s">
        <v>55</v>
      </c>
      <c r="C78" s="39"/>
      <c r="D78" s="239"/>
      <c r="E78" s="89">
        <v>0.7</v>
      </c>
      <c r="F78" s="68" t="s">
        <v>57</v>
      </c>
      <c r="G78" s="68">
        <f>C78*E78*C79</f>
        <v>0</v>
      </c>
      <c r="H78" s="68"/>
    </row>
    <row r="79" spans="1:8" ht="12.75">
      <c r="A79" s="173" t="s">
        <v>58</v>
      </c>
      <c r="B79" s="85" t="s">
        <v>59</v>
      </c>
      <c r="C79" s="40"/>
      <c r="D79" s="239"/>
      <c r="E79" s="240" t="s">
        <v>54</v>
      </c>
      <c r="F79" s="68"/>
      <c r="G79" s="68" t="s">
        <v>54</v>
      </c>
      <c r="H79" s="68"/>
    </row>
    <row r="80" spans="1:8" ht="12.75">
      <c r="A80" s="135" t="s">
        <v>373</v>
      </c>
      <c r="B80" s="68" t="s">
        <v>55</v>
      </c>
      <c r="C80" s="39"/>
      <c r="D80" s="239"/>
      <c r="E80" s="89">
        <v>0.7</v>
      </c>
      <c r="F80" s="68" t="s">
        <v>57</v>
      </c>
      <c r="G80" s="68">
        <f>C80*E80*C81</f>
        <v>0</v>
      </c>
      <c r="H80" s="68"/>
    </row>
    <row r="81" spans="1:8" ht="12.75">
      <c r="A81" s="173" t="s">
        <v>60</v>
      </c>
      <c r="B81" s="85" t="s">
        <v>59</v>
      </c>
      <c r="C81" s="40"/>
      <c r="D81" s="239"/>
      <c r="E81" s="240" t="s">
        <v>54</v>
      </c>
      <c r="F81" s="68"/>
      <c r="G81" s="68" t="s">
        <v>54</v>
      </c>
      <c r="H81" s="68"/>
    </row>
    <row r="82" spans="1:8" ht="12.75">
      <c r="A82" s="135" t="s">
        <v>374</v>
      </c>
      <c r="B82" s="68" t="s">
        <v>61</v>
      </c>
      <c r="C82" s="241"/>
      <c r="D82" s="87"/>
      <c r="E82" s="89">
        <v>40</v>
      </c>
      <c r="F82" s="68" t="s">
        <v>56</v>
      </c>
      <c r="G82" s="68"/>
      <c r="H82" s="68">
        <f>E82*D82</f>
        <v>0</v>
      </c>
    </row>
    <row r="83" spans="1:8" ht="12.75">
      <c r="A83" s="135" t="s">
        <v>375</v>
      </c>
      <c r="B83" s="68" t="s">
        <v>61</v>
      </c>
      <c r="C83" s="241"/>
      <c r="D83" s="87"/>
      <c r="E83" s="89">
        <v>120</v>
      </c>
      <c r="F83" s="68" t="s">
        <v>56</v>
      </c>
      <c r="G83" s="68"/>
      <c r="H83" s="68">
        <f>E83*D83</f>
        <v>0</v>
      </c>
    </row>
    <row r="84" spans="1:8" ht="12.75">
      <c r="A84" s="135" t="s">
        <v>376</v>
      </c>
      <c r="B84" s="68" t="s">
        <v>61</v>
      </c>
      <c r="C84" s="241"/>
      <c r="D84" s="87"/>
      <c r="E84" s="89">
        <v>600</v>
      </c>
      <c r="F84" s="68" t="s">
        <v>56</v>
      </c>
      <c r="G84" s="68"/>
      <c r="H84" s="68">
        <f>E84*D84</f>
        <v>0</v>
      </c>
    </row>
    <row r="85" spans="1:8" ht="12.75">
      <c r="A85" s="135" t="s">
        <v>377</v>
      </c>
      <c r="B85" s="68" t="s">
        <v>61</v>
      </c>
      <c r="C85" s="241"/>
      <c r="D85" s="87"/>
      <c r="E85" s="89"/>
      <c r="F85" s="68" t="s">
        <v>56</v>
      </c>
      <c r="G85" s="68"/>
      <c r="H85" s="68">
        <f>E85*D85</f>
        <v>0</v>
      </c>
    </row>
    <row r="86" spans="1:8" ht="12.75">
      <c r="A86" s="135" t="s">
        <v>378</v>
      </c>
      <c r="B86" s="68" t="s">
        <v>62</v>
      </c>
      <c r="C86" s="241"/>
      <c r="D86" s="39"/>
      <c r="E86" s="89">
        <v>0.05</v>
      </c>
      <c r="F86" s="68" t="s">
        <v>63</v>
      </c>
      <c r="G86" s="68"/>
      <c r="H86" s="68">
        <f>IF($D$87&gt;0,D86*$E86*$D$87,D86*$E86*2)</f>
        <v>0</v>
      </c>
    </row>
    <row r="87" spans="1:8" ht="12.75">
      <c r="A87" s="173" t="s">
        <v>64</v>
      </c>
      <c r="B87" s="68" t="s">
        <v>65</v>
      </c>
      <c r="C87" s="241"/>
      <c r="D87" s="40"/>
      <c r="E87" s="240"/>
      <c r="F87" s="68"/>
      <c r="G87" s="68"/>
      <c r="H87" s="68"/>
    </row>
    <row r="88" spans="1:8" ht="12.75">
      <c r="A88" s="135" t="s">
        <v>379</v>
      </c>
      <c r="B88" s="68" t="s">
        <v>66</v>
      </c>
      <c r="C88" s="39"/>
      <c r="D88" s="239"/>
      <c r="E88" s="89"/>
      <c r="F88" s="68" t="s">
        <v>63</v>
      </c>
      <c r="G88" s="68">
        <f>IF($C$89&gt;0,IF(E88&gt;0,C88*$E88*$C$89,C88*0.02*$C$89),IF(E88&gt;0,C88*$E88*2,C88*2*0.02))</f>
        <v>0</v>
      </c>
      <c r="H88" s="68"/>
    </row>
    <row r="89" spans="1:8" ht="12.75">
      <c r="A89" s="173" t="s">
        <v>64</v>
      </c>
      <c r="B89" s="68" t="s">
        <v>67</v>
      </c>
      <c r="C89" s="40"/>
      <c r="D89" s="239"/>
      <c r="E89" s="240" t="s">
        <v>54</v>
      </c>
      <c r="F89" s="68" t="s">
        <v>54</v>
      </c>
      <c r="G89" s="68" t="s">
        <v>54</v>
      </c>
      <c r="H89" s="68"/>
    </row>
    <row r="90" spans="1:8" ht="12.75">
      <c r="A90" s="135" t="s">
        <v>380</v>
      </c>
      <c r="B90" s="68" t="s">
        <v>62</v>
      </c>
      <c r="C90" s="241"/>
      <c r="D90" s="87"/>
      <c r="E90" s="89">
        <v>0.4</v>
      </c>
      <c r="F90" s="68" t="s">
        <v>68</v>
      </c>
      <c r="G90" s="68"/>
      <c r="H90" s="68">
        <f>E90*D90</f>
        <v>0</v>
      </c>
    </row>
    <row r="91" spans="1:8" ht="12.75">
      <c r="A91" s="135" t="s">
        <v>381</v>
      </c>
      <c r="B91" s="68" t="s">
        <v>62</v>
      </c>
      <c r="C91" s="241"/>
      <c r="D91" s="87"/>
      <c r="E91" s="89">
        <v>1.2</v>
      </c>
      <c r="F91" s="68" t="s">
        <v>68</v>
      </c>
      <c r="G91" s="68"/>
      <c r="H91" s="68">
        <f>E91*D91</f>
        <v>0</v>
      </c>
    </row>
    <row r="92" spans="1:8" ht="12.75">
      <c r="A92" s="135" t="s">
        <v>326</v>
      </c>
      <c r="B92" s="162" t="s">
        <v>327</v>
      </c>
      <c r="C92" s="163"/>
      <c r="D92" s="239"/>
      <c r="E92" s="89">
        <f>1000*0.03165</f>
        <v>31.65</v>
      </c>
      <c r="F92" s="68" t="s">
        <v>68</v>
      </c>
      <c r="G92" s="68"/>
      <c r="H92" s="69">
        <f>C92*E92</f>
        <v>0</v>
      </c>
    </row>
    <row r="93" spans="1:8" ht="12.75">
      <c r="A93" s="165" t="s">
        <v>69</v>
      </c>
      <c r="B93" s="68" t="s">
        <v>56</v>
      </c>
      <c r="C93" s="91"/>
      <c r="D93" s="239"/>
      <c r="E93" s="89">
        <v>35</v>
      </c>
      <c r="F93" s="68" t="s">
        <v>56</v>
      </c>
      <c r="G93" s="68">
        <f>E93*C93</f>
        <v>0</v>
      </c>
      <c r="H93" s="68"/>
    </row>
    <row r="94" spans="1:8" ht="12.75">
      <c r="A94" s="165" t="s">
        <v>70</v>
      </c>
      <c r="B94" s="85" t="s">
        <v>71</v>
      </c>
      <c r="C94" s="241"/>
      <c r="D94" s="87"/>
      <c r="E94" s="240"/>
      <c r="F94" s="68" t="s">
        <v>54</v>
      </c>
      <c r="G94" s="68"/>
      <c r="H94" s="68">
        <f>D94</f>
        <v>0</v>
      </c>
    </row>
    <row r="95" spans="1:8" ht="12.75">
      <c r="A95" s="136" t="s">
        <v>72</v>
      </c>
      <c r="B95" s="67"/>
      <c r="C95" s="68"/>
      <c r="D95" s="68"/>
      <c r="E95" s="68"/>
      <c r="F95" s="68" t="s">
        <v>54</v>
      </c>
      <c r="G95" s="68">
        <f>SUM(G77:G94)</f>
        <v>0</v>
      </c>
      <c r="H95" s="68">
        <f>SUM(H77:H94)</f>
        <v>0</v>
      </c>
    </row>
    <row r="96" spans="1:8" ht="12.75">
      <c r="A96" s="135"/>
      <c r="B96" s="68"/>
      <c r="C96" s="68"/>
      <c r="D96" s="68"/>
      <c r="E96" s="68"/>
      <c r="F96" s="68"/>
      <c r="G96" s="68"/>
      <c r="H96" s="68"/>
    </row>
    <row r="97" spans="1:8" ht="12.75">
      <c r="A97" s="165"/>
      <c r="B97" s="67"/>
      <c r="C97" s="68"/>
      <c r="D97" s="68"/>
      <c r="E97" s="68"/>
      <c r="F97" s="68"/>
      <c r="G97" s="68"/>
      <c r="H97" s="68"/>
    </row>
    <row r="98" spans="1:8" ht="12.75">
      <c r="A98" s="136" t="s">
        <v>318</v>
      </c>
      <c r="B98" s="74">
        <f>0.001*(G95+H95)/200</f>
        <v>0</v>
      </c>
      <c r="C98" s="68" t="s">
        <v>74</v>
      </c>
      <c r="D98" s="68"/>
      <c r="E98" s="69"/>
      <c r="F98" s="68"/>
      <c r="G98" s="68"/>
      <c r="H98" s="68"/>
    </row>
    <row r="99" spans="1:8" ht="12.75">
      <c r="A99" s="73" t="s">
        <v>319</v>
      </c>
      <c r="B99" s="74">
        <f>0.001*(0.0219*H95+0.0074*G95)</f>
        <v>0</v>
      </c>
      <c r="C99" s="68" t="s">
        <v>74</v>
      </c>
      <c r="D99" s="68"/>
      <c r="E99" s="68"/>
      <c r="F99" s="68"/>
      <c r="G99" s="68"/>
      <c r="H99" s="68"/>
    </row>
    <row r="100" ht="12.75"/>
    <row r="101" ht="12.75">
      <c r="A101" s="20"/>
    </row>
    <row r="102" ht="12.75">
      <c r="A102" s="55" t="str">
        <f>A1</f>
        <v>Variant VII</v>
      </c>
    </row>
    <row r="103" ht="12.75">
      <c r="A103" s="55" t="str">
        <f>A11</f>
        <v>M7 opp. wateremissies</v>
      </c>
    </row>
    <row r="104" spans="1:12" s="19" customFormat="1" ht="51">
      <c r="A104" s="170" t="str">
        <f>A41</f>
        <v>Verontreinigende stof</v>
      </c>
      <c r="B104" s="132" t="s">
        <v>394</v>
      </c>
      <c r="C104" s="132" t="s">
        <v>39</v>
      </c>
      <c r="D104" s="132" t="s">
        <v>24</v>
      </c>
      <c r="E104" s="132" t="s">
        <v>361</v>
      </c>
      <c r="J104" s="78"/>
      <c r="K104" s="78"/>
      <c r="L104" s="78"/>
    </row>
    <row r="105" spans="1:10" ht="12.75">
      <c r="A105" s="171"/>
      <c r="B105" s="205">
        <f>IF(INDEX(Normen!$A$12:$I$128,J105,9)&lt;&gt;"NB",0.5*(INDEX(Normen!$A$12:$I$128,J105,8)+INDEX(Normen!$A$12:$I$128,J105,9)),"NB")</f>
        <v>0</v>
      </c>
      <c r="C105" s="38"/>
      <c r="D105" s="38"/>
      <c r="E105" s="68">
        <f>IF(AND(B105&lt;&gt;"NB",B105&gt;0,C105&gt;INDEX(Normen!$A$12:$I$128,J105,8)),(C105)*D105/B105,0)</f>
        <v>0</v>
      </c>
      <c r="J105" s="242">
        <v>1</v>
      </c>
    </row>
    <row r="106" spans="1:10" ht="12.75">
      <c r="A106" s="171"/>
      <c r="B106" s="205">
        <f>IF(INDEX(Normen!$A$12:$I$128,J106,9)&lt;&gt;"NB",0.5*(INDEX(Normen!$A$12:$I$128,J106,8)+INDEX(Normen!$A$12:$I$128,J106,9)),"NB")</f>
        <v>0</v>
      </c>
      <c r="C106" s="38"/>
      <c r="D106" s="38"/>
      <c r="E106" s="68">
        <f>IF(AND(B106&lt;&gt;"NB",B106&gt;0,C106&gt;INDEX(Normen!$A$12:$I$128,J106,8)),(C106)*D106/B106,0)</f>
        <v>0</v>
      </c>
      <c r="J106" s="242">
        <v>1</v>
      </c>
    </row>
    <row r="107" spans="1:10" ht="12.75">
      <c r="A107" s="171"/>
      <c r="B107" s="205">
        <f>IF(INDEX(Normen!$A$12:$I$128,J107,9)&lt;&gt;"NB",0.5*(INDEX(Normen!$A$12:$I$128,J107,8)+INDEX(Normen!$A$12:$I$128,J107,9)),"NB")</f>
        <v>0</v>
      </c>
      <c r="C107" s="38"/>
      <c r="D107" s="38"/>
      <c r="E107" s="68">
        <f>IF(AND(B107&lt;&gt;"NB",B107&gt;0,C107&gt;INDEX(Normen!$A$12:$I$128,J107,8)),(C107)*D107/B107,0)</f>
        <v>0</v>
      </c>
      <c r="J107" s="242">
        <v>1</v>
      </c>
    </row>
    <row r="108" spans="1:10" ht="12.75">
      <c r="A108" s="171"/>
      <c r="B108" s="205">
        <f>IF(INDEX(Normen!$A$12:$I$128,J108,9)&lt;&gt;"NB",0.5*(INDEX(Normen!$A$12:$I$128,J108,8)+INDEX(Normen!$A$12:$I$128,J108,9)),"NB")</f>
        <v>0</v>
      </c>
      <c r="C108" s="38"/>
      <c r="D108" s="38"/>
      <c r="E108" s="68">
        <f>IF(AND(B108&lt;&gt;"NB",B108&gt;0,C108&gt;INDEX(Normen!$A$12:$I$128,J108,8)),(C108)*D108/B108,0)</f>
        <v>0</v>
      </c>
      <c r="J108" s="242">
        <v>1</v>
      </c>
    </row>
    <row r="109" spans="1:10" ht="12.75">
      <c r="A109" s="171"/>
      <c r="B109" s="205">
        <f>IF(INDEX(Normen!$A$12:$I$128,J109,9)&lt;&gt;"NB",0.5*(INDEX(Normen!$A$12:$I$128,J109,8)+INDEX(Normen!$A$12:$I$128,J109,9)),"NB")</f>
        <v>0</v>
      </c>
      <c r="C109" s="38"/>
      <c r="D109" s="38"/>
      <c r="E109" s="68">
        <f>IF(AND(B109&lt;&gt;"NB",B109&gt;0,C109&gt;INDEX(Normen!$A$12:$I$128,J109,8)),(C109)*D109/B109,0)</f>
        <v>0</v>
      </c>
      <c r="J109" s="242">
        <v>1</v>
      </c>
    </row>
    <row r="110" spans="1:10" ht="12.75">
      <c r="A110" s="171"/>
      <c r="B110" s="205">
        <f>IF(INDEX(Normen!$A$12:$I$128,J110,9)&lt;&gt;"NB",0.5*(INDEX(Normen!$A$12:$I$128,J110,8)+INDEX(Normen!$A$12:$I$128,J110,9)),"NB")</f>
        <v>0</v>
      </c>
      <c r="C110" s="38"/>
      <c r="D110" s="38"/>
      <c r="E110" s="68">
        <f>IF(AND(B110&lt;&gt;"NB",B110&gt;0,C110&gt;INDEX(Normen!$A$12:$I$128,J110,8)),(C110)*D110/B110,0)</f>
        <v>0</v>
      </c>
      <c r="J110" s="242">
        <v>1</v>
      </c>
    </row>
    <row r="111" spans="1:10" ht="12.75">
      <c r="A111" s="171"/>
      <c r="B111" s="205">
        <f>IF(INDEX(Normen!$A$12:$I$128,J111,9)&lt;&gt;"NB",0.5*(INDEX(Normen!$A$12:$I$128,J111,8)+INDEX(Normen!$A$12:$I$128,J111,9)),"NB")</f>
        <v>0</v>
      </c>
      <c r="C111" s="38"/>
      <c r="D111" s="38"/>
      <c r="E111" s="68">
        <f>IF(AND(B111&lt;&gt;"NB",B111&gt;0,C111&gt;INDEX(Normen!$A$12:$I$128,J111,8)),(C111)*D111/B111,0)</f>
        <v>0</v>
      </c>
      <c r="J111" s="242">
        <v>1</v>
      </c>
    </row>
    <row r="112" spans="1:5" ht="12.75">
      <c r="A112" s="171"/>
      <c r="B112" s="205"/>
      <c r="C112" s="38"/>
      <c r="D112" s="38"/>
      <c r="E112" s="68">
        <f>IF(AND(B112&lt;&gt;"NB",B112&gt;0,C112&gt;INDEX(Normen!$A$12:$I$128,J112,8)),(C112)*D112/B112,0)</f>
        <v>0</v>
      </c>
    </row>
    <row r="113" spans="1:5" ht="12.75">
      <c r="A113" s="171"/>
      <c r="B113" s="205"/>
      <c r="C113" s="38"/>
      <c r="D113" s="38"/>
      <c r="E113" s="68">
        <f>IF(AND(B113&lt;&gt;"NB",B113&gt;0,C113&gt;INDEX(Normen!$A$12:$I$128,J113,8)),(C113)*D113/B113,0)</f>
        <v>0</v>
      </c>
    </row>
    <row r="114" spans="1:5" ht="12.75">
      <c r="A114" s="171"/>
      <c r="B114" s="205"/>
      <c r="C114" s="38"/>
      <c r="D114" s="38"/>
      <c r="E114" s="68">
        <f>IF(AND(B114&lt;&gt;"NB",B114&gt;0,C114&gt;INDEX(Normen!$A$12:$I$128,J114,8)),(C114)*D114/B114,0)</f>
        <v>0</v>
      </c>
    </row>
    <row r="115" spans="1:5" ht="12.75">
      <c r="A115" s="171"/>
      <c r="B115" s="205"/>
      <c r="C115" s="38"/>
      <c r="D115" s="38"/>
      <c r="E115" s="68">
        <f>IF(AND(B115&lt;&gt;"NB",B115&gt;0,C115&gt;INDEX(Normen!$A$12:$I$128,J115,8)),(C115)*D115/B115,0)</f>
        <v>0</v>
      </c>
    </row>
    <row r="116" spans="1:5" ht="12.75">
      <c r="A116" s="165"/>
      <c r="B116" s="68"/>
      <c r="C116" s="68"/>
      <c r="D116" s="68"/>
      <c r="E116" s="68"/>
    </row>
    <row r="117" spans="1:5" ht="12.75">
      <c r="A117" s="136" t="str">
        <f>A103</f>
        <v>M7 opp. wateremissies</v>
      </c>
      <c r="B117" s="74">
        <f>SUM(E105:E114)</f>
        <v>0</v>
      </c>
      <c r="C117" s="68"/>
      <c r="D117" s="68"/>
      <c r="E117" s="68"/>
    </row>
    <row r="118" ht="12.75"/>
    <row r="119" ht="12.75">
      <c r="A119" s="20"/>
    </row>
    <row r="120" ht="12.75">
      <c r="A120" s="55" t="str">
        <f>A1</f>
        <v>Variant VII</v>
      </c>
    </row>
    <row r="121" ht="12.75">
      <c r="A121" s="55" t="str">
        <f>A12</f>
        <v>M8 afvalvorming</v>
      </c>
    </row>
    <row r="122" spans="1:2" ht="12.75">
      <c r="A122" s="165" t="s">
        <v>75</v>
      </c>
      <c r="B122" s="38"/>
    </row>
    <row r="123" spans="1:2" ht="12.75">
      <c r="A123" s="165" t="s">
        <v>76</v>
      </c>
      <c r="B123" s="38"/>
    </row>
    <row r="124" spans="1:2" ht="12.75">
      <c r="A124" s="165" t="s">
        <v>77</v>
      </c>
      <c r="B124" s="38"/>
    </row>
    <row r="125" spans="1:2" ht="12.75">
      <c r="A125" s="165"/>
      <c r="B125" s="71"/>
    </row>
    <row r="126" spans="1:2" ht="12.75">
      <c r="A126" s="165"/>
      <c r="B126" s="71"/>
    </row>
    <row r="127" spans="1:2" ht="12.75">
      <c r="A127" s="136" t="str">
        <f>A121</f>
        <v>M8 afvalvorming</v>
      </c>
      <c r="B127" s="74">
        <f>SUM(B122:B124)</f>
        <v>0</v>
      </c>
    </row>
    <row r="128" ht="12.75"/>
    <row r="129" ht="12.75">
      <c r="A129" s="20"/>
    </row>
    <row r="130" ht="12.75">
      <c r="A130" s="55" t="str">
        <f>A1</f>
        <v>Variant VII</v>
      </c>
    </row>
    <row r="131" ht="12.75">
      <c r="A131" s="55" t="str">
        <f>A13</f>
        <v>M9 ruimtebeslag</v>
      </c>
    </row>
    <row r="132" spans="1:6" ht="12.75">
      <c r="A132" s="169"/>
      <c r="B132" s="168" t="s">
        <v>78</v>
      </c>
      <c r="C132" s="168" t="s">
        <v>79</v>
      </c>
      <c r="D132" s="168" t="s">
        <v>80</v>
      </c>
      <c r="E132" s="168" t="s">
        <v>81</v>
      </c>
      <c r="F132" s="168" t="s">
        <v>82</v>
      </c>
    </row>
    <row r="133" spans="1:6" ht="12.75">
      <c r="A133" s="165" t="s">
        <v>83</v>
      </c>
      <c r="B133" s="38"/>
      <c r="C133" s="38"/>
      <c r="D133" s="38"/>
      <c r="E133" s="38"/>
      <c r="F133" s="38"/>
    </row>
    <row r="134" spans="1:6" ht="12.75">
      <c r="A134" s="165" t="s">
        <v>84</v>
      </c>
      <c r="B134" s="38"/>
      <c r="C134" s="38"/>
      <c r="D134" s="38"/>
      <c r="E134" s="38"/>
      <c r="F134" s="38"/>
    </row>
    <row r="135" spans="1:6" ht="12.75">
      <c r="A135" s="136" t="s">
        <v>85</v>
      </c>
      <c r="B135" s="68">
        <f>B133*B134</f>
        <v>0</v>
      </c>
      <c r="C135" s="68">
        <f>C133*C134</f>
        <v>0</v>
      </c>
      <c r="D135" s="68">
        <f>D133*D134</f>
        <v>0</v>
      </c>
      <c r="E135" s="68">
        <f>E133*E134</f>
        <v>0</v>
      </c>
      <c r="F135" s="68">
        <f>F133*F134</f>
        <v>0</v>
      </c>
    </row>
    <row r="136" spans="1:6" ht="12.75">
      <c r="A136" s="165"/>
      <c r="B136" s="74" t="str">
        <f>IF(B134&gt;30,"Maximaal 30 invullen!!"," ")</f>
        <v> </v>
      </c>
      <c r="C136" s="74" t="str">
        <f>IF(C134&gt;30,"Maximaal 30 invullen!!"," ")</f>
        <v> </v>
      </c>
      <c r="D136" s="74" t="str">
        <f>IF(D134&gt;30,"Maximaal 30 invullen!!"," ")</f>
        <v> </v>
      </c>
      <c r="E136" s="74" t="str">
        <f>IF(E134&gt;30,"Maximaal 30 invullen!!"," ")</f>
        <v> </v>
      </c>
      <c r="F136" s="74" t="str">
        <f>IF(F134&gt;30,"Maximaal 30 invullen!!"," ")</f>
        <v> </v>
      </c>
    </row>
    <row r="137" spans="1:6" ht="12.75">
      <c r="A137" s="136" t="str">
        <f>A131</f>
        <v>M9 ruimtebeslag</v>
      </c>
      <c r="B137" s="74">
        <f>SUM(B135:F135)</f>
        <v>0</v>
      </c>
      <c r="C137" s="68"/>
      <c r="D137" s="68"/>
      <c r="E137" s="68"/>
      <c r="F137" s="68"/>
    </row>
    <row r="138" ht="12.75"/>
    <row r="139" ht="12.75"/>
    <row r="140" ht="12.75">
      <c r="A140" s="55" t="str">
        <f>A1</f>
        <v>Variant VII</v>
      </c>
    </row>
    <row r="141" spans="1:14" s="19" customFormat="1" ht="12.75">
      <c r="A141" s="164" t="str">
        <f>A16</f>
        <v>Effectenoverzicht</v>
      </c>
      <c r="B141" s="132" t="s">
        <v>51</v>
      </c>
      <c r="C141" s="132" t="s">
        <v>86</v>
      </c>
      <c r="J141" s="78"/>
      <c r="K141" s="78"/>
      <c r="L141" s="78"/>
      <c r="M141" s="79"/>
      <c r="N141" s="80"/>
    </row>
    <row r="142" spans="1:14" ht="12.75">
      <c r="A142" s="165" t="str">
        <f>A36</f>
        <v>M1 grondkwaliteit</v>
      </c>
      <c r="B142" s="68" t="s">
        <v>360</v>
      </c>
      <c r="C142" s="92">
        <f>B36/1000</f>
        <v>0</v>
      </c>
      <c r="D142" s="51"/>
      <c r="F142" s="81"/>
      <c r="M142" s="82"/>
      <c r="N142" s="83"/>
    </row>
    <row r="143" spans="1:14" ht="12.75">
      <c r="A143" s="165" t="str">
        <f>A54</f>
        <v>M2 grondwaterkwaliteit</v>
      </c>
      <c r="B143" s="68" t="s">
        <v>360</v>
      </c>
      <c r="C143" s="92">
        <f>B54/1000</f>
        <v>0</v>
      </c>
      <c r="D143" s="51"/>
      <c r="F143" s="81"/>
      <c r="M143" s="82"/>
      <c r="N143" s="83"/>
    </row>
    <row r="144" spans="1:14" ht="14.25">
      <c r="A144" s="165" t="str">
        <f>A62</f>
        <v>M3 verlies grond</v>
      </c>
      <c r="B144" s="68" t="s">
        <v>87</v>
      </c>
      <c r="C144" s="92">
        <f>(-B62)</f>
        <v>0</v>
      </c>
      <c r="E144" s="51"/>
      <c r="F144" s="81"/>
      <c r="M144" s="82"/>
      <c r="N144" s="83"/>
    </row>
    <row r="145" spans="1:14" ht="14.25">
      <c r="A145" s="165" t="str">
        <f>A70</f>
        <v>M4 verlies grondwater</v>
      </c>
      <c r="B145" s="68" t="s">
        <v>88</v>
      </c>
      <c r="C145" s="92">
        <f>-B70/1000</f>
        <v>0</v>
      </c>
      <c r="E145" s="51"/>
      <c r="F145" s="81"/>
      <c r="M145" s="82"/>
      <c r="N145" s="83"/>
    </row>
    <row r="146" spans="1:14" ht="12.75">
      <c r="A146" s="165" t="str">
        <f>A98</f>
        <v>M5 energiegebruik</v>
      </c>
      <c r="B146" s="68" t="str">
        <f>C98</f>
        <v>inw.eq</v>
      </c>
      <c r="C146" s="69">
        <f>-B98</f>
        <v>0</v>
      </c>
      <c r="E146" s="51"/>
      <c r="F146" s="81"/>
      <c r="M146" s="82"/>
      <c r="N146" s="83"/>
    </row>
    <row r="147" spans="1:14" ht="12.75">
      <c r="A147" s="165" t="str">
        <f>A99</f>
        <v>M6 luchtemissies</v>
      </c>
      <c r="B147" s="68" t="s">
        <v>74</v>
      </c>
      <c r="C147" s="69">
        <f>-B99</f>
        <v>0</v>
      </c>
      <c r="E147" s="51"/>
      <c r="F147" s="81"/>
      <c r="M147" s="82"/>
      <c r="N147" s="83"/>
    </row>
    <row r="148" spans="1:14" ht="12.75">
      <c r="A148" s="165" t="str">
        <f>A117</f>
        <v>M7 opp. wateremissies</v>
      </c>
      <c r="B148" s="68" t="s">
        <v>360</v>
      </c>
      <c r="C148" s="69">
        <f>-B117/1000</f>
        <v>0</v>
      </c>
      <c r="E148" s="51"/>
      <c r="F148" s="81"/>
      <c r="M148" s="82"/>
      <c r="N148" s="83"/>
    </row>
    <row r="149" spans="1:14" ht="14.25">
      <c r="A149" s="165" t="str">
        <f>A127</f>
        <v>M8 afvalvorming</v>
      </c>
      <c r="B149" s="68" t="s">
        <v>87</v>
      </c>
      <c r="C149" s="69">
        <f>-B127</f>
        <v>0</v>
      </c>
      <c r="E149" s="51"/>
      <c r="F149" s="81"/>
      <c r="M149" s="82"/>
      <c r="N149" s="83"/>
    </row>
    <row r="150" spans="1:14" ht="14.25">
      <c r="A150" s="165" t="str">
        <f>A137</f>
        <v>M9 ruimtebeslag</v>
      </c>
      <c r="B150" s="68" t="s">
        <v>89</v>
      </c>
      <c r="C150" s="69">
        <f>-B137</f>
        <v>0</v>
      </c>
      <c r="E150" s="51"/>
      <c r="F150" s="81"/>
      <c r="M150" s="82"/>
      <c r="N150" s="83"/>
    </row>
    <row r="151" ht="12.75">
      <c r="A151" s="58"/>
    </row>
    <row r="154" ht="12.75"/>
    <row r="155" ht="12.75"/>
    <row r="156" ht="12.75"/>
  </sheetData>
  <sheetProtection sheet="1" scenarios="1"/>
  <printOptions/>
  <pageMargins left="0.5905511811023623" right="0.5905511811023623" top="0.984251968503937" bottom="0.984251968503937" header="0.5118110236220472" footer="0.5118110236220472"/>
  <pageSetup fitToHeight="3" fitToWidth="1" horizontalDpi="300" verticalDpi="300" orientation="portrait" paperSize="9" scale="94" r:id="rId3"/>
  <headerFooter alignWithMargins="0">
    <oddHeader>&amp;C&amp;F</oddHeader>
    <oddFooter>&amp;CMilieuverdienste in RMK</oddFooter>
  </headerFooter>
  <legacyDrawing r:id="rId2"/>
</worksheet>
</file>

<file path=xl/worksheets/sheet11.xml><?xml version="1.0" encoding="utf-8"?>
<worksheet xmlns="http://schemas.openxmlformats.org/spreadsheetml/2006/main" xmlns:r="http://schemas.openxmlformats.org/officeDocument/2006/relationships">
  <sheetPr codeName="Sheet4"/>
  <dimension ref="A1:J74"/>
  <sheetViews>
    <sheetView zoomScale="90" zoomScaleNormal="90" workbookViewId="0" topLeftCell="A1">
      <selection activeCell="A1" sqref="A1"/>
    </sheetView>
  </sheetViews>
  <sheetFormatPr defaultColWidth="9.140625" defaultRowHeight="12.75"/>
  <cols>
    <col min="1" max="1" width="10.421875" style="186" customWidth="1"/>
    <col min="2" max="2" width="9.140625" style="199" customWidth="1"/>
    <col min="3" max="3" width="12.00390625" style="186" customWidth="1"/>
    <col min="4" max="4" width="8.7109375" style="186" customWidth="1"/>
    <col min="5" max="5" width="10.7109375" style="186" customWidth="1"/>
    <col min="6" max="6" width="12.28125" style="186" customWidth="1"/>
    <col min="7" max="7" width="8.8515625" style="199" customWidth="1"/>
    <col min="8" max="8" width="12.421875" style="186" customWidth="1"/>
    <col min="9" max="9" width="8.28125" style="186" customWidth="1"/>
    <col min="10" max="10" width="8.7109375" style="186" customWidth="1"/>
    <col min="11" max="16384" width="8.8515625" style="186" customWidth="1"/>
  </cols>
  <sheetData>
    <row r="1" spans="1:10" s="182" customFormat="1" ht="15.75">
      <c r="A1" s="180"/>
      <c r="B1" s="195" t="s">
        <v>368</v>
      </c>
      <c r="C1" s="180"/>
      <c r="D1" s="180"/>
      <c r="E1" s="180"/>
      <c r="F1" s="181"/>
      <c r="G1" s="200" t="s">
        <v>107</v>
      </c>
      <c r="H1" s="181"/>
      <c r="I1" s="181"/>
      <c r="J1" s="181"/>
    </row>
    <row r="2" spans="1:10" ht="12.75">
      <c r="A2" s="37"/>
      <c r="B2" s="196" t="s">
        <v>362</v>
      </c>
      <c r="C2" s="183"/>
      <c r="D2" s="37">
        <v>1</v>
      </c>
      <c r="E2" s="37"/>
      <c r="F2" s="184"/>
      <c r="G2" s="201" t="s">
        <v>362</v>
      </c>
      <c r="H2" s="185"/>
      <c r="I2" s="184">
        <v>1</v>
      </c>
      <c r="J2" s="184"/>
    </row>
    <row r="3" spans="1:10" ht="12.75">
      <c r="A3" s="37"/>
      <c r="B3" s="196" t="s">
        <v>363</v>
      </c>
      <c r="C3" s="183">
        <f>INDEX(I!A24:B34,D2,2)</f>
        <v>0</v>
      </c>
      <c r="D3" s="183" t="s">
        <v>364</v>
      </c>
      <c r="E3" s="54"/>
      <c r="F3" s="204"/>
      <c r="G3" s="201" t="s">
        <v>363</v>
      </c>
      <c r="H3" s="185">
        <f>INDEX(I!A42:B52,I2,2)</f>
        <v>0</v>
      </c>
      <c r="I3" s="185" t="s">
        <v>415</v>
      </c>
      <c r="J3" s="184"/>
    </row>
    <row r="4" spans="1:10" ht="12.75">
      <c r="A4" s="37"/>
      <c r="B4" s="196" t="s">
        <v>366</v>
      </c>
      <c r="C4" s="243">
        <f>SUM(E8:E68)</f>
        <v>0</v>
      </c>
      <c r="D4" s="183" t="s">
        <v>419</v>
      </c>
      <c r="E4" s="54"/>
      <c r="F4" s="204"/>
      <c r="G4" s="201" t="s">
        <v>366</v>
      </c>
      <c r="H4" s="243">
        <f>SUM(J8:J68)</f>
        <v>0</v>
      </c>
      <c r="I4" s="185" t="s">
        <v>419</v>
      </c>
      <c r="J4" s="184"/>
    </row>
    <row r="5" spans="1:10" ht="12.75">
      <c r="A5" s="37"/>
      <c r="B5" s="197" t="s">
        <v>367</v>
      </c>
      <c r="C5" s="183">
        <f>C4/30</f>
        <v>0</v>
      </c>
      <c r="D5" s="183" t="s">
        <v>68</v>
      </c>
      <c r="E5" s="54"/>
      <c r="F5" s="204"/>
      <c r="G5" s="202" t="s">
        <v>367</v>
      </c>
      <c r="H5" s="185">
        <f>H4/30</f>
        <v>0</v>
      </c>
      <c r="I5" s="185" t="s">
        <v>68</v>
      </c>
      <c r="J5" s="184"/>
    </row>
    <row r="6" spans="1:10" ht="12.75">
      <c r="A6" s="37"/>
      <c r="B6" s="187" t="s">
        <v>391</v>
      </c>
      <c r="C6" s="189">
        <v>5</v>
      </c>
      <c r="D6" s="183"/>
      <c r="E6" s="37"/>
      <c r="F6" s="184"/>
      <c r="G6" s="188" t="s">
        <v>391</v>
      </c>
      <c r="H6" s="189">
        <v>1</v>
      </c>
      <c r="I6" s="185"/>
      <c r="J6" s="184"/>
    </row>
    <row r="7" spans="1:10" s="194" customFormat="1" ht="27.75" customHeight="1">
      <c r="A7" s="190"/>
      <c r="B7" s="198" t="s">
        <v>265</v>
      </c>
      <c r="C7" s="191" t="s">
        <v>416</v>
      </c>
      <c r="D7" s="191" t="s">
        <v>365</v>
      </c>
      <c r="E7" s="191" t="s">
        <v>417</v>
      </c>
      <c r="F7" s="192"/>
      <c r="G7" s="203" t="s">
        <v>265</v>
      </c>
      <c r="H7" s="193" t="s">
        <v>414</v>
      </c>
      <c r="I7" s="193" t="s">
        <v>365</v>
      </c>
      <c r="J7" s="193" t="s">
        <v>417</v>
      </c>
    </row>
    <row r="8" spans="1:10" ht="12.75">
      <c r="A8" s="37"/>
      <c r="B8" s="54">
        <v>0</v>
      </c>
      <c r="C8" s="70">
        <f>INDEX(Huidig!E25:O32,Klad!D2,1)</f>
        <v>0</v>
      </c>
      <c r="D8" s="70">
        <f>INDEX(Huidig!E25:O32,Klad!D2,2)</f>
        <v>0</v>
      </c>
      <c r="E8" s="54">
        <f>IF(B8&lt;30,IF(C8&gt;$C$3,0.000001*(C8-$C$3)*D8*$C$6,0),0)</f>
        <v>0</v>
      </c>
      <c r="F8" s="204"/>
      <c r="G8" s="204">
        <v>0</v>
      </c>
      <c r="H8" s="70">
        <f>INDEX(Huidig!E43:P50,Klad!I2,1)</f>
        <v>0</v>
      </c>
      <c r="I8" s="70">
        <f>INDEX(Huidig!E43:P50,Klad!I2,2)</f>
        <v>0</v>
      </c>
      <c r="J8" s="204">
        <f>IF(G8&lt;30,IF(H8&gt;$H$3,0.000000001*(H8-$H$3)*I8*$H$6,0),0)</f>
        <v>0</v>
      </c>
    </row>
    <row r="9" spans="1:10" ht="12.75">
      <c r="A9" s="37"/>
      <c r="B9" s="54">
        <f>B8+$C$6</f>
        <v>5</v>
      </c>
      <c r="C9" s="205">
        <f aca="true" t="shared" si="0" ref="C9:C14">IF($B9&lt;30,C8,"niet invullen!")</f>
        <v>0</v>
      </c>
      <c r="D9" s="38">
        <f aca="true" t="shared" si="1" ref="D9:D68">IF($B9&lt;30,D8,"")</f>
        <v>0</v>
      </c>
      <c r="E9" s="54">
        <f aca="true" t="shared" si="2" ref="E9:E68">IF(B9&lt;30,IF(C9&gt;$C$3,0.000001*(C9-$C$3)*D9*$C$6,0),0)</f>
        <v>0</v>
      </c>
      <c r="F9" s="184"/>
      <c r="G9" s="204">
        <f>G8+$H$6</f>
        <v>1</v>
      </c>
      <c r="H9" s="205">
        <f aca="true" t="shared" si="3" ref="H9:H40">IF($G9&lt;30,H8,"niet invullen!")</f>
        <v>0</v>
      </c>
      <c r="I9" s="205">
        <f>IF($G9&lt;30,I8,"")</f>
        <v>0</v>
      </c>
      <c r="J9" s="204">
        <f aca="true" t="shared" si="4" ref="J9:J68">IF(G9&lt;30,IF(H9&gt;$H$3,0.000000001*(H9-$H$3)*I9*$H$6,0),0)</f>
        <v>0</v>
      </c>
    </row>
    <row r="10" spans="1:10" ht="12.75">
      <c r="A10" s="37"/>
      <c r="B10" s="54">
        <f aca="true" t="shared" si="5" ref="B10:B37">B9+$C$6</f>
        <v>10</v>
      </c>
      <c r="C10" s="205">
        <f t="shared" si="0"/>
        <v>0</v>
      </c>
      <c r="D10" s="38">
        <f t="shared" si="1"/>
        <v>0</v>
      </c>
      <c r="E10" s="54">
        <f t="shared" si="2"/>
        <v>0</v>
      </c>
      <c r="F10" s="184"/>
      <c r="G10" s="204">
        <f aca="true" t="shared" si="6" ref="G10:G37">G9+$H$6</f>
        <v>2</v>
      </c>
      <c r="H10" s="205">
        <f t="shared" si="3"/>
        <v>0</v>
      </c>
      <c r="I10" s="205">
        <f aca="true" t="shared" si="7" ref="I10:I68">IF($G10&lt;30,I9,"")</f>
        <v>0</v>
      </c>
      <c r="J10" s="204">
        <f t="shared" si="4"/>
        <v>0</v>
      </c>
    </row>
    <row r="11" spans="1:10" ht="12.75">
      <c r="A11" s="37"/>
      <c r="B11" s="54">
        <f t="shared" si="5"/>
        <v>15</v>
      </c>
      <c r="C11" s="205">
        <f t="shared" si="0"/>
        <v>0</v>
      </c>
      <c r="D11" s="38">
        <f t="shared" si="1"/>
        <v>0</v>
      </c>
      <c r="E11" s="54">
        <f t="shared" si="2"/>
        <v>0</v>
      </c>
      <c r="F11" s="184"/>
      <c r="G11" s="204">
        <f t="shared" si="6"/>
        <v>3</v>
      </c>
      <c r="H11" s="205">
        <f t="shared" si="3"/>
        <v>0</v>
      </c>
      <c r="I11" s="205">
        <f t="shared" si="7"/>
        <v>0</v>
      </c>
      <c r="J11" s="204">
        <f t="shared" si="4"/>
        <v>0</v>
      </c>
    </row>
    <row r="12" spans="1:10" ht="12.75">
      <c r="A12" s="37"/>
      <c r="B12" s="54">
        <f t="shared" si="5"/>
        <v>20</v>
      </c>
      <c r="C12" s="205">
        <f t="shared" si="0"/>
        <v>0</v>
      </c>
      <c r="D12" s="38">
        <f t="shared" si="1"/>
        <v>0</v>
      </c>
      <c r="E12" s="54">
        <f t="shared" si="2"/>
        <v>0</v>
      </c>
      <c r="F12" s="184"/>
      <c r="G12" s="204">
        <f t="shared" si="6"/>
        <v>4</v>
      </c>
      <c r="H12" s="205">
        <f t="shared" si="3"/>
        <v>0</v>
      </c>
      <c r="I12" s="205">
        <f t="shared" si="7"/>
        <v>0</v>
      </c>
      <c r="J12" s="204">
        <f t="shared" si="4"/>
        <v>0</v>
      </c>
    </row>
    <row r="13" spans="1:10" ht="12.75">
      <c r="A13" s="37"/>
      <c r="B13" s="54">
        <f t="shared" si="5"/>
        <v>25</v>
      </c>
      <c r="C13" s="205">
        <f t="shared" si="0"/>
        <v>0</v>
      </c>
      <c r="D13" s="38">
        <f t="shared" si="1"/>
        <v>0</v>
      </c>
      <c r="E13" s="54">
        <f t="shared" si="2"/>
        <v>0</v>
      </c>
      <c r="F13" s="184"/>
      <c r="G13" s="204">
        <f t="shared" si="6"/>
        <v>5</v>
      </c>
      <c r="H13" s="205">
        <f t="shared" si="3"/>
        <v>0</v>
      </c>
      <c r="I13" s="205">
        <f t="shared" si="7"/>
        <v>0</v>
      </c>
      <c r="J13" s="204">
        <f t="shared" si="4"/>
        <v>0</v>
      </c>
    </row>
    <row r="14" spans="1:10" ht="12.75">
      <c r="A14" s="37"/>
      <c r="B14" s="54">
        <f t="shared" si="5"/>
        <v>30</v>
      </c>
      <c r="C14" s="205" t="str">
        <f t="shared" si="0"/>
        <v>niet invullen!</v>
      </c>
      <c r="D14" s="38">
        <f>IF($B14&lt;30,D13,"")</f>
      </c>
      <c r="E14" s="54">
        <f t="shared" si="2"/>
        <v>0</v>
      </c>
      <c r="F14" s="184"/>
      <c r="G14" s="204">
        <f t="shared" si="6"/>
        <v>6</v>
      </c>
      <c r="H14" s="205">
        <f t="shared" si="3"/>
        <v>0</v>
      </c>
      <c r="I14" s="205">
        <f t="shared" si="7"/>
        <v>0</v>
      </c>
      <c r="J14" s="204">
        <f t="shared" si="4"/>
        <v>0</v>
      </c>
    </row>
    <row r="15" spans="1:10" ht="12.75">
      <c r="A15" s="37"/>
      <c r="B15" s="54">
        <f t="shared" si="5"/>
        <v>35</v>
      </c>
      <c r="C15" s="205" t="str">
        <f aca="true" t="shared" si="8" ref="C15:C68">IF(B15&lt;30,C14,"niet invullen!")</f>
        <v>niet invullen!</v>
      </c>
      <c r="D15" s="38">
        <f t="shared" si="1"/>
      </c>
      <c r="E15" s="54">
        <f t="shared" si="2"/>
        <v>0</v>
      </c>
      <c r="F15" s="184"/>
      <c r="G15" s="204">
        <f t="shared" si="6"/>
        <v>7</v>
      </c>
      <c r="H15" s="205">
        <f t="shared" si="3"/>
        <v>0</v>
      </c>
      <c r="I15" s="205">
        <f t="shared" si="7"/>
        <v>0</v>
      </c>
      <c r="J15" s="204">
        <f t="shared" si="4"/>
        <v>0</v>
      </c>
    </row>
    <row r="16" spans="1:10" ht="12.75">
      <c r="A16" s="37"/>
      <c r="B16" s="54">
        <f t="shared" si="5"/>
        <v>40</v>
      </c>
      <c r="C16" s="205" t="str">
        <f t="shared" si="8"/>
        <v>niet invullen!</v>
      </c>
      <c r="D16" s="38">
        <f t="shared" si="1"/>
      </c>
      <c r="E16" s="54">
        <f t="shared" si="2"/>
        <v>0</v>
      </c>
      <c r="F16" s="184"/>
      <c r="G16" s="204">
        <f t="shared" si="6"/>
        <v>8</v>
      </c>
      <c r="H16" s="205">
        <f t="shared" si="3"/>
        <v>0</v>
      </c>
      <c r="I16" s="205">
        <f t="shared" si="7"/>
        <v>0</v>
      </c>
      <c r="J16" s="204">
        <f t="shared" si="4"/>
        <v>0</v>
      </c>
    </row>
    <row r="17" spans="1:10" ht="12.75">
      <c r="A17" s="37"/>
      <c r="B17" s="54">
        <f t="shared" si="5"/>
        <v>45</v>
      </c>
      <c r="C17" s="205" t="str">
        <f t="shared" si="8"/>
        <v>niet invullen!</v>
      </c>
      <c r="D17" s="38">
        <f t="shared" si="1"/>
      </c>
      <c r="E17" s="54">
        <f t="shared" si="2"/>
        <v>0</v>
      </c>
      <c r="F17" s="184"/>
      <c r="G17" s="204">
        <f t="shared" si="6"/>
        <v>9</v>
      </c>
      <c r="H17" s="205">
        <f t="shared" si="3"/>
        <v>0</v>
      </c>
      <c r="I17" s="205">
        <f t="shared" si="7"/>
        <v>0</v>
      </c>
      <c r="J17" s="204">
        <f t="shared" si="4"/>
        <v>0</v>
      </c>
    </row>
    <row r="18" spans="1:10" ht="12.75">
      <c r="A18" s="37"/>
      <c r="B18" s="54">
        <f t="shared" si="5"/>
        <v>50</v>
      </c>
      <c r="C18" s="205" t="str">
        <f t="shared" si="8"/>
        <v>niet invullen!</v>
      </c>
      <c r="D18" s="38">
        <f t="shared" si="1"/>
      </c>
      <c r="E18" s="54">
        <f t="shared" si="2"/>
        <v>0</v>
      </c>
      <c r="F18" s="184"/>
      <c r="G18" s="204">
        <f t="shared" si="6"/>
        <v>10</v>
      </c>
      <c r="H18" s="205">
        <f t="shared" si="3"/>
        <v>0</v>
      </c>
      <c r="I18" s="205">
        <f t="shared" si="7"/>
        <v>0</v>
      </c>
      <c r="J18" s="204">
        <f t="shared" si="4"/>
        <v>0</v>
      </c>
    </row>
    <row r="19" spans="1:10" ht="12.75">
      <c r="A19" s="37"/>
      <c r="B19" s="54">
        <f t="shared" si="5"/>
        <v>55</v>
      </c>
      <c r="C19" s="205" t="str">
        <f t="shared" si="8"/>
        <v>niet invullen!</v>
      </c>
      <c r="D19" s="38">
        <f t="shared" si="1"/>
      </c>
      <c r="E19" s="54">
        <f t="shared" si="2"/>
        <v>0</v>
      </c>
      <c r="F19" s="184"/>
      <c r="G19" s="204">
        <f t="shared" si="6"/>
        <v>11</v>
      </c>
      <c r="H19" s="205">
        <f t="shared" si="3"/>
        <v>0</v>
      </c>
      <c r="I19" s="205">
        <f t="shared" si="7"/>
        <v>0</v>
      </c>
      <c r="J19" s="204">
        <f t="shared" si="4"/>
        <v>0</v>
      </c>
    </row>
    <row r="20" spans="1:10" ht="12.75">
      <c r="A20" s="37"/>
      <c r="B20" s="54">
        <f t="shared" si="5"/>
        <v>60</v>
      </c>
      <c r="C20" s="205" t="str">
        <f t="shared" si="8"/>
        <v>niet invullen!</v>
      </c>
      <c r="D20" s="38">
        <f t="shared" si="1"/>
      </c>
      <c r="E20" s="54">
        <f t="shared" si="2"/>
        <v>0</v>
      </c>
      <c r="F20" s="184"/>
      <c r="G20" s="204">
        <f t="shared" si="6"/>
        <v>12</v>
      </c>
      <c r="H20" s="205">
        <f t="shared" si="3"/>
        <v>0</v>
      </c>
      <c r="I20" s="205">
        <f t="shared" si="7"/>
        <v>0</v>
      </c>
      <c r="J20" s="204">
        <f t="shared" si="4"/>
        <v>0</v>
      </c>
    </row>
    <row r="21" spans="1:10" ht="12.75">
      <c r="A21" s="37"/>
      <c r="B21" s="54">
        <f t="shared" si="5"/>
        <v>65</v>
      </c>
      <c r="C21" s="205" t="str">
        <f t="shared" si="8"/>
        <v>niet invullen!</v>
      </c>
      <c r="D21" s="38">
        <f t="shared" si="1"/>
      </c>
      <c r="E21" s="54">
        <f t="shared" si="2"/>
        <v>0</v>
      </c>
      <c r="F21" s="184"/>
      <c r="G21" s="204">
        <f t="shared" si="6"/>
        <v>13</v>
      </c>
      <c r="H21" s="205">
        <f t="shared" si="3"/>
        <v>0</v>
      </c>
      <c r="I21" s="205">
        <f t="shared" si="7"/>
        <v>0</v>
      </c>
      <c r="J21" s="204">
        <f t="shared" si="4"/>
        <v>0</v>
      </c>
    </row>
    <row r="22" spans="1:10" ht="12.75">
      <c r="A22" s="37"/>
      <c r="B22" s="54">
        <f t="shared" si="5"/>
        <v>70</v>
      </c>
      <c r="C22" s="205" t="str">
        <f t="shared" si="8"/>
        <v>niet invullen!</v>
      </c>
      <c r="D22" s="38">
        <f t="shared" si="1"/>
      </c>
      <c r="E22" s="54">
        <f t="shared" si="2"/>
        <v>0</v>
      </c>
      <c r="F22" s="184"/>
      <c r="G22" s="204">
        <f t="shared" si="6"/>
        <v>14</v>
      </c>
      <c r="H22" s="205">
        <f t="shared" si="3"/>
        <v>0</v>
      </c>
      <c r="I22" s="205">
        <f t="shared" si="7"/>
        <v>0</v>
      </c>
      <c r="J22" s="204">
        <f t="shared" si="4"/>
        <v>0</v>
      </c>
    </row>
    <row r="23" spans="1:10" ht="12.75">
      <c r="A23" s="37"/>
      <c r="B23" s="54">
        <f t="shared" si="5"/>
        <v>75</v>
      </c>
      <c r="C23" s="205" t="str">
        <f t="shared" si="8"/>
        <v>niet invullen!</v>
      </c>
      <c r="D23" s="38">
        <f t="shared" si="1"/>
      </c>
      <c r="E23" s="54">
        <f t="shared" si="2"/>
        <v>0</v>
      </c>
      <c r="F23" s="184"/>
      <c r="G23" s="204">
        <f t="shared" si="6"/>
        <v>15</v>
      </c>
      <c r="H23" s="205">
        <f t="shared" si="3"/>
        <v>0</v>
      </c>
      <c r="I23" s="205">
        <f t="shared" si="7"/>
        <v>0</v>
      </c>
      <c r="J23" s="204">
        <f t="shared" si="4"/>
        <v>0</v>
      </c>
    </row>
    <row r="24" spans="1:10" ht="12.75">
      <c r="A24" s="37"/>
      <c r="B24" s="54">
        <f t="shared" si="5"/>
        <v>80</v>
      </c>
      <c r="C24" s="205" t="str">
        <f t="shared" si="8"/>
        <v>niet invullen!</v>
      </c>
      <c r="D24" s="38">
        <f t="shared" si="1"/>
      </c>
      <c r="E24" s="54">
        <f t="shared" si="2"/>
        <v>0</v>
      </c>
      <c r="F24" s="184"/>
      <c r="G24" s="204">
        <f t="shared" si="6"/>
        <v>16</v>
      </c>
      <c r="H24" s="205">
        <f t="shared" si="3"/>
        <v>0</v>
      </c>
      <c r="I24" s="205">
        <f t="shared" si="7"/>
        <v>0</v>
      </c>
      <c r="J24" s="204">
        <f t="shared" si="4"/>
        <v>0</v>
      </c>
    </row>
    <row r="25" spans="1:10" ht="12.75">
      <c r="A25" s="37"/>
      <c r="B25" s="54">
        <f t="shared" si="5"/>
        <v>85</v>
      </c>
      <c r="C25" s="205" t="str">
        <f t="shared" si="8"/>
        <v>niet invullen!</v>
      </c>
      <c r="D25" s="38">
        <f t="shared" si="1"/>
      </c>
      <c r="E25" s="54">
        <f t="shared" si="2"/>
        <v>0</v>
      </c>
      <c r="F25" s="184"/>
      <c r="G25" s="204">
        <f t="shared" si="6"/>
        <v>17</v>
      </c>
      <c r="H25" s="205">
        <f t="shared" si="3"/>
        <v>0</v>
      </c>
      <c r="I25" s="205">
        <f t="shared" si="7"/>
        <v>0</v>
      </c>
      <c r="J25" s="204">
        <f t="shared" si="4"/>
        <v>0</v>
      </c>
    </row>
    <row r="26" spans="1:10" ht="12.75">
      <c r="A26" s="37"/>
      <c r="B26" s="54">
        <f t="shared" si="5"/>
        <v>90</v>
      </c>
      <c r="C26" s="205" t="str">
        <f t="shared" si="8"/>
        <v>niet invullen!</v>
      </c>
      <c r="D26" s="38">
        <f t="shared" si="1"/>
      </c>
      <c r="E26" s="54">
        <f t="shared" si="2"/>
        <v>0</v>
      </c>
      <c r="F26" s="184"/>
      <c r="G26" s="204">
        <f t="shared" si="6"/>
        <v>18</v>
      </c>
      <c r="H26" s="205">
        <f t="shared" si="3"/>
        <v>0</v>
      </c>
      <c r="I26" s="205">
        <f t="shared" si="7"/>
        <v>0</v>
      </c>
      <c r="J26" s="204">
        <f t="shared" si="4"/>
        <v>0</v>
      </c>
    </row>
    <row r="27" spans="1:10" ht="12.75">
      <c r="A27" s="37"/>
      <c r="B27" s="54">
        <f t="shared" si="5"/>
        <v>95</v>
      </c>
      <c r="C27" s="205" t="str">
        <f t="shared" si="8"/>
        <v>niet invullen!</v>
      </c>
      <c r="D27" s="38">
        <f t="shared" si="1"/>
      </c>
      <c r="E27" s="54">
        <f t="shared" si="2"/>
        <v>0</v>
      </c>
      <c r="F27" s="184"/>
      <c r="G27" s="204">
        <f t="shared" si="6"/>
        <v>19</v>
      </c>
      <c r="H27" s="205">
        <f t="shared" si="3"/>
        <v>0</v>
      </c>
      <c r="I27" s="205">
        <f t="shared" si="7"/>
        <v>0</v>
      </c>
      <c r="J27" s="204">
        <f t="shared" si="4"/>
        <v>0</v>
      </c>
    </row>
    <row r="28" spans="1:10" ht="12.75">
      <c r="A28" s="37"/>
      <c r="B28" s="54">
        <f t="shared" si="5"/>
        <v>100</v>
      </c>
      <c r="C28" s="205" t="str">
        <f t="shared" si="8"/>
        <v>niet invullen!</v>
      </c>
      <c r="D28" s="38">
        <f t="shared" si="1"/>
      </c>
      <c r="E28" s="54">
        <f t="shared" si="2"/>
        <v>0</v>
      </c>
      <c r="F28" s="184"/>
      <c r="G28" s="204">
        <f t="shared" si="6"/>
        <v>20</v>
      </c>
      <c r="H28" s="205">
        <f t="shared" si="3"/>
        <v>0</v>
      </c>
      <c r="I28" s="205">
        <f t="shared" si="7"/>
        <v>0</v>
      </c>
      <c r="J28" s="204">
        <f t="shared" si="4"/>
        <v>0</v>
      </c>
    </row>
    <row r="29" spans="1:10" ht="12.75">
      <c r="A29" s="37"/>
      <c r="B29" s="54">
        <f t="shared" si="5"/>
        <v>105</v>
      </c>
      <c r="C29" s="205" t="str">
        <f t="shared" si="8"/>
        <v>niet invullen!</v>
      </c>
      <c r="D29" s="38">
        <f t="shared" si="1"/>
      </c>
      <c r="E29" s="54">
        <f t="shared" si="2"/>
        <v>0</v>
      </c>
      <c r="F29" s="184"/>
      <c r="G29" s="204">
        <f t="shared" si="6"/>
        <v>21</v>
      </c>
      <c r="H29" s="205">
        <f t="shared" si="3"/>
        <v>0</v>
      </c>
      <c r="I29" s="205">
        <f t="shared" si="7"/>
        <v>0</v>
      </c>
      <c r="J29" s="204">
        <f t="shared" si="4"/>
        <v>0</v>
      </c>
    </row>
    <row r="30" spans="1:10" ht="12.75">
      <c r="A30" s="37"/>
      <c r="B30" s="54">
        <f t="shared" si="5"/>
        <v>110</v>
      </c>
      <c r="C30" s="205" t="str">
        <f t="shared" si="8"/>
        <v>niet invullen!</v>
      </c>
      <c r="D30" s="38">
        <f t="shared" si="1"/>
      </c>
      <c r="E30" s="54">
        <f t="shared" si="2"/>
        <v>0</v>
      </c>
      <c r="F30" s="184"/>
      <c r="G30" s="204">
        <f t="shared" si="6"/>
        <v>22</v>
      </c>
      <c r="H30" s="205">
        <f t="shared" si="3"/>
        <v>0</v>
      </c>
      <c r="I30" s="205">
        <f t="shared" si="7"/>
        <v>0</v>
      </c>
      <c r="J30" s="204">
        <f t="shared" si="4"/>
        <v>0</v>
      </c>
    </row>
    <row r="31" spans="1:10" ht="12.75">
      <c r="A31" s="37"/>
      <c r="B31" s="54">
        <f t="shared" si="5"/>
        <v>115</v>
      </c>
      <c r="C31" s="205" t="str">
        <f t="shared" si="8"/>
        <v>niet invullen!</v>
      </c>
      <c r="D31" s="38">
        <f t="shared" si="1"/>
      </c>
      <c r="E31" s="54">
        <f t="shared" si="2"/>
        <v>0</v>
      </c>
      <c r="F31" s="184"/>
      <c r="G31" s="204">
        <f t="shared" si="6"/>
        <v>23</v>
      </c>
      <c r="H31" s="205">
        <f t="shared" si="3"/>
        <v>0</v>
      </c>
      <c r="I31" s="205">
        <f t="shared" si="7"/>
        <v>0</v>
      </c>
      <c r="J31" s="204">
        <f t="shared" si="4"/>
        <v>0</v>
      </c>
    </row>
    <row r="32" spans="1:10" ht="12.75">
      <c r="A32" s="37"/>
      <c r="B32" s="54">
        <f t="shared" si="5"/>
        <v>120</v>
      </c>
      <c r="C32" s="205" t="str">
        <f t="shared" si="8"/>
        <v>niet invullen!</v>
      </c>
      <c r="D32" s="38">
        <f t="shared" si="1"/>
      </c>
      <c r="E32" s="54">
        <f t="shared" si="2"/>
        <v>0</v>
      </c>
      <c r="F32" s="184"/>
      <c r="G32" s="204">
        <f t="shared" si="6"/>
        <v>24</v>
      </c>
      <c r="H32" s="205">
        <f t="shared" si="3"/>
        <v>0</v>
      </c>
      <c r="I32" s="205">
        <f t="shared" si="7"/>
        <v>0</v>
      </c>
      <c r="J32" s="204">
        <f t="shared" si="4"/>
        <v>0</v>
      </c>
    </row>
    <row r="33" spans="1:10" ht="12.75">
      <c r="A33" s="37"/>
      <c r="B33" s="54">
        <f t="shared" si="5"/>
        <v>125</v>
      </c>
      <c r="C33" s="205" t="str">
        <f t="shared" si="8"/>
        <v>niet invullen!</v>
      </c>
      <c r="D33" s="38">
        <f t="shared" si="1"/>
      </c>
      <c r="E33" s="54">
        <f t="shared" si="2"/>
        <v>0</v>
      </c>
      <c r="F33" s="184"/>
      <c r="G33" s="204">
        <f t="shared" si="6"/>
        <v>25</v>
      </c>
      <c r="H33" s="205">
        <f t="shared" si="3"/>
        <v>0</v>
      </c>
      <c r="I33" s="205">
        <f t="shared" si="7"/>
        <v>0</v>
      </c>
      <c r="J33" s="204">
        <f t="shared" si="4"/>
        <v>0</v>
      </c>
    </row>
    <row r="34" spans="1:10" ht="12.75">
      <c r="A34" s="37"/>
      <c r="B34" s="54">
        <f t="shared" si="5"/>
        <v>130</v>
      </c>
      <c r="C34" s="205" t="str">
        <f t="shared" si="8"/>
        <v>niet invullen!</v>
      </c>
      <c r="D34" s="38">
        <f t="shared" si="1"/>
      </c>
      <c r="E34" s="54">
        <f t="shared" si="2"/>
        <v>0</v>
      </c>
      <c r="F34" s="184"/>
      <c r="G34" s="204">
        <f t="shared" si="6"/>
        <v>26</v>
      </c>
      <c r="H34" s="205">
        <f t="shared" si="3"/>
        <v>0</v>
      </c>
      <c r="I34" s="205">
        <f t="shared" si="7"/>
        <v>0</v>
      </c>
      <c r="J34" s="204">
        <f t="shared" si="4"/>
        <v>0</v>
      </c>
    </row>
    <row r="35" spans="1:10" ht="12.75">
      <c r="A35" s="37"/>
      <c r="B35" s="54">
        <f t="shared" si="5"/>
        <v>135</v>
      </c>
      <c r="C35" s="205" t="str">
        <f t="shared" si="8"/>
        <v>niet invullen!</v>
      </c>
      <c r="D35" s="38">
        <f t="shared" si="1"/>
      </c>
      <c r="E35" s="54">
        <f t="shared" si="2"/>
        <v>0</v>
      </c>
      <c r="F35" s="184"/>
      <c r="G35" s="204">
        <f t="shared" si="6"/>
        <v>27</v>
      </c>
      <c r="H35" s="205">
        <f t="shared" si="3"/>
        <v>0</v>
      </c>
      <c r="I35" s="205">
        <f t="shared" si="7"/>
        <v>0</v>
      </c>
      <c r="J35" s="204">
        <f t="shared" si="4"/>
        <v>0</v>
      </c>
    </row>
    <row r="36" spans="1:10" ht="12.75">
      <c r="A36" s="37"/>
      <c r="B36" s="54">
        <f t="shared" si="5"/>
        <v>140</v>
      </c>
      <c r="C36" s="205" t="str">
        <f t="shared" si="8"/>
        <v>niet invullen!</v>
      </c>
      <c r="D36" s="38">
        <f t="shared" si="1"/>
      </c>
      <c r="E36" s="54">
        <f t="shared" si="2"/>
        <v>0</v>
      </c>
      <c r="F36" s="184"/>
      <c r="G36" s="204">
        <f t="shared" si="6"/>
        <v>28</v>
      </c>
      <c r="H36" s="205">
        <f t="shared" si="3"/>
        <v>0</v>
      </c>
      <c r="I36" s="205">
        <f t="shared" si="7"/>
        <v>0</v>
      </c>
      <c r="J36" s="204">
        <f t="shared" si="4"/>
        <v>0</v>
      </c>
    </row>
    <row r="37" spans="1:10" ht="12.75">
      <c r="A37" s="37"/>
      <c r="B37" s="54">
        <f t="shared" si="5"/>
        <v>145</v>
      </c>
      <c r="C37" s="205" t="str">
        <f t="shared" si="8"/>
        <v>niet invullen!</v>
      </c>
      <c r="D37" s="38">
        <f t="shared" si="1"/>
      </c>
      <c r="E37" s="54">
        <f t="shared" si="2"/>
        <v>0</v>
      </c>
      <c r="F37" s="184"/>
      <c r="G37" s="204">
        <f t="shared" si="6"/>
        <v>29</v>
      </c>
      <c r="H37" s="205">
        <f t="shared" si="3"/>
        <v>0</v>
      </c>
      <c r="I37" s="205">
        <f t="shared" si="7"/>
        <v>0</v>
      </c>
      <c r="J37" s="204">
        <f t="shared" si="4"/>
        <v>0</v>
      </c>
    </row>
    <row r="38" spans="1:10" ht="12.75">
      <c r="A38" s="37"/>
      <c r="B38" s="54">
        <f aca="true" t="shared" si="9" ref="B38:B53">B37+$C$6</f>
        <v>150</v>
      </c>
      <c r="C38" s="205" t="str">
        <f t="shared" si="8"/>
        <v>niet invullen!</v>
      </c>
      <c r="D38" s="38">
        <f t="shared" si="1"/>
      </c>
      <c r="E38" s="54">
        <f t="shared" si="2"/>
        <v>0</v>
      </c>
      <c r="F38" s="184"/>
      <c r="G38" s="204">
        <f aca="true" t="shared" si="10" ref="G38:G53">G37+$H$6</f>
        <v>30</v>
      </c>
      <c r="H38" s="205" t="str">
        <f t="shared" si="3"/>
        <v>niet invullen!</v>
      </c>
      <c r="I38" s="205">
        <f t="shared" si="7"/>
      </c>
      <c r="J38" s="204">
        <f t="shared" si="4"/>
        <v>0</v>
      </c>
    </row>
    <row r="39" spans="1:10" ht="12.75">
      <c r="A39" s="37"/>
      <c r="B39" s="54">
        <f t="shared" si="9"/>
        <v>155</v>
      </c>
      <c r="C39" s="205" t="str">
        <f t="shared" si="8"/>
        <v>niet invullen!</v>
      </c>
      <c r="D39" s="38">
        <f t="shared" si="1"/>
      </c>
      <c r="E39" s="54">
        <f t="shared" si="2"/>
        <v>0</v>
      </c>
      <c r="F39" s="184"/>
      <c r="G39" s="204">
        <f t="shared" si="10"/>
        <v>31</v>
      </c>
      <c r="H39" s="205" t="str">
        <f t="shared" si="3"/>
        <v>niet invullen!</v>
      </c>
      <c r="I39" s="205">
        <f t="shared" si="7"/>
      </c>
      <c r="J39" s="204">
        <f t="shared" si="4"/>
        <v>0</v>
      </c>
    </row>
    <row r="40" spans="1:10" ht="12.75">
      <c r="A40" s="37"/>
      <c r="B40" s="54">
        <f t="shared" si="9"/>
        <v>160</v>
      </c>
      <c r="C40" s="205" t="str">
        <f t="shared" si="8"/>
        <v>niet invullen!</v>
      </c>
      <c r="D40" s="38">
        <f t="shared" si="1"/>
      </c>
      <c r="E40" s="54">
        <f t="shared" si="2"/>
        <v>0</v>
      </c>
      <c r="F40" s="184"/>
      <c r="G40" s="204">
        <f t="shared" si="10"/>
        <v>32</v>
      </c>
      <c r="H40" s="205" t="str">
        <f t="shared" si="3"/>
        <v>niet invullen!</v>
      </c>
      <c r="I40" s="205">
        <f t="shared" si="7"/>
      </c>
      <c r="J40" s="204">
        <f t="shared" si="4"/>
        <v>0</v>
      </c>
    </row>
    <row r="41" spans="1:10" ht="12.75">
      <c r="A41" s="37"/>
      <c r="B41" s="54">
        <f t="shared" si="9"/>
        <v>165</v>
      </c>
      <c r="C41" s="205" t="str">
        <f t="shared" si="8"/>
        <v>niet invullen!</v>
      </c>
      <c r="D41" s="38">
        <f t="shared" si="1"/>
      </c>
      <c r="E41" s="54">
        <f t="shared" si="2"/>
        <v>0</v>
      </c>
      <c r="F41" s="184"/>
      <c r="G41" s="204">
        <f t="shared" si="10"/>
        <v>33</v>
      </c>
      <c r="H41" s="205" t="str">
        <f aca="true" t="shared" si="11" ref="H41:H68">IF($G41&lt;30,H40,"niet invullen!")</f>
        <v>niet invullen!</v>
      </c>
      <c r="I41" s="205">
        <f t="shared" si="7"/>
      </c>
      <c r="J41" s="204">
        <f t="shared" si="4"/>
        <v>0</v>
      </c>
    </row>
    <row r="42" spans="1:10" ht="12.75">
      <c r="A42" s="37"/>
      <c r="B42" s="54">
        <f t="shared" si="9"/>
        <v>170</v>
      </c>
      <c r="C42" s="205" t="str">
        <f t="shared" si="8"/>
        <v>niet invullen!</v>
      </c>
      <c r="D42" s="38">
        <f t="shared" si="1"/>
      </c>
      <c r="E42" s="54">
        <f t="shared" si="2"/>
        <v>0</v>
      </c>
      <c r="F42" s="184"/>
      <c r="G42" s="204">
        <f t="shared" si="10"/>
        <v>34</v>
      </c>
      <c r="H42" s="205" t="str">
        <f t="shared" si="11"/>
        <v>niet invullen!</v>
      </c>
      <c r="I42" s="205">
        <f t="shared" si="7"/>
      </c>
      <c r="J42" s="204">
        <f t="shared" si="4"/>
        <v>0</v>
      </c>
    </row>
    <row r="43" spans="1:10" ht="12.75">
      <c r="A43" s="37"/>
      <c r="B43" s="54">
        <f t="shared" si="9"/>
        <v>175</v>
      </c>
      <c r="C43" s="205" t="str">
        <f t="shared" si="8"/>
        <v>niet invullen!</v>
      </c>
      <c r="D43" s="38">
        <f t="shared" si="1"/>
      </c>
      <c r="E43" s="54">
        <f t="shared" si="2"/>
        <v>0</v>
      </c>
      <c r="F43" s="184"/>
      <c r="G43" s="204">
        <f t="shared" si="10"/>
        <v>35</v>
      </c>
      <c r="H43" s="205" t="str">
        <f t="shared" si="11"/>
        <v>niet invullen!</v>
      </c>
      <c r="I43" s="205">
        <f t="shared" si="7"/>
      </c>
      <c r="J43" s="204">
        <f t="shared" si="4"/>
        <v>0</v>
      </c>
    </row>
    <row r="44" spans="1:10" ht="12.75">
      <c r="A44" s="37"/>
      <c r="B44" s="54">
        <f t="shared" si="9"/>
        <v>180</v>
      </c>
      <c r="C44" s="205" t="str">
        <f t="shared" si="8"/>
        <v>niet invullen!</v>
      </c>
      <c r="D44" s="38">
        <f t="shared" si="1"/>
      </c>
      <c r="E44" s="54">
        <f t="shared" si="2"/>
        <v>0</v>
      </c>
      <c r="F44" s="184"/>
      <c r="G44" s="204">
        <f t="shared" si="10"/>
        <v>36</v>
      </c>
      <c r="H44" s="205" t="str">
        <f t="shared" si="11"/>
        <v>niet invullen!</v>
      </c>
      <c r="I44" s="205">
        <f t="shared" si="7"/>
      </c>
      <c r="J44" s="204">
        <f t="shared" si="4"/>
        <v>0</v>
      </c>
    </row>
    <row r="45" spans="1:10" ht="12.75">
      <c r="A45" s="37"/>
      <c r="B45" s="54">
        <f t="shared" si="9"/>
        <v>185</v>
      </c>
      <c r="C45" s="205" t="str">
        <f t="shared" si="8"/>
        <v>niet invullen!</v>
      </c>
      <c r="D45" s="38">
        <f t="shared" si="1"/>
      </c>
      <c r="E45" s="54">
        <f t="shared" si="2"/>
        <v>0</v>
      </c>
      <c r="F45" s="184"/>
      <c r="G45" s="204">
        <f t="shared" si="10"/>
        <v>37</v>
      </c>
      <c r="H45" s="205" t="str">
        <f t="shared" si="11"/>
        <v>niet invullen!</v>
      </c>
      <c r="I45" s="205">
        <f t="shared" si="7"/>
      </c>
      <c r="J45" s="204">
        <f t="shared" si="4"/>
        <v>0</v>
      </c>
    </row>
    <row r="46" spans="1:10" ht="12.75">
      <c r="A46" s="37"/>
      <c r="B46" s="54">
        <f t="shared" si="9"/>
        <v>190</v>
      </c>
      <c r="C46" s="205" t="str">
        <f t="shared" si="8"/>
        <v>niet invullen!</v>
      </c>
      <c r="D46" s="38">
        <f t="shared" si="1"/>
      </c>
      <c r="E46" s="54">
        <f t="shared" si="2"/>
        <v>0</v>
      </c>
      <c r="F46" s="184"/>
      <c r="G46" s="204">
        <f t="shared" si="10"/>
        <v>38</v>
      </c>
      <c r="H46" s="205" t="str">
        <f t="shared" si="11"/>
        <v>niet invullen!</v>
      </c>
      <c r="I46" s="205">
        <f t="shared" si="7"/>
      </c>
      <c r="J46" s="204">
        <f t="shared" si="4"/>
        <v>0</v>
      </c>
    </row>
    <row r="47" spans="1:10" ht="12.75">
      <c r="A47" s="37"/>
      <c r="B47" s="54">
        <f t="shared" si="9"/>
        <v>195</v>
      </c>
      <c r="C47" s="205" t="str">
        <f t="shared" si="8"/>
        <v>niet invullen!</v>
      </c>
      <c r="D47" s="38">
        <f t="shared" si="1"/>
      </c>
      <c r="E47" s="54">
        <f t="shared" si="2"/>
        <v>0</v>
      </c>
      <c r="F47" s="184"/>
      <c r="G47" s="204">
        <f t="shared" si="10"/>
        <v>39</v>
      </c>
      <c r="H47" s="205" t="str">
        <f t="shared" si="11"/>
        <v>niet invullen!</v>
      </c>
      <c r="I47" s="205">
        <f t="shared" si="7"/>
      </c>
      <c r="J47" s="204">
        <f t="shared" si="4"/>
        <v>0</v>
      </c>
    </row>
    <row r="48" spans="1:10" ht="12.75">
      <c r="A48" s="37"/>
      <c r="B48" s="54">
        <f t="shared" si="9"/>
        <v>200</v>
      </c>
      <c r="C48" s="205" t="str">
        <f t="shared" si="8"/>
        <v>niet invullen!</v>
      </c>
      <c r="D48" s="38">
        <f t="shared" si="1"/>
      </c>
      <c r="E48" s="54">
        <f t="shared" si="2"/>
        <v>0</v>
      </c>
      <c r="F48" s="184"/>
      <c r="G48" s="204">
        <f t="shared" si="10"/>
        <v>40</v>
      </c>
      <c r="H48" s="205" t="str">
        <f t="shared" si="11"/>
        <v>niet invullen!</v>
      </c>
      <c r="I48" s="205">
        <f t="shared" si="7"/>
      </c>
      <c r="J48" s="204">
        <f t="shared" si="4"/>
        <v>0</v>
      </c>
    </row>
    <row r="49" spans="1:10" ht="12.75">
      <c r="A49" s="37"/>
      <c r="B49" s="54">
        <f t="shared" si="9"/>
        <v>205</v>
      </c>
      <c r="C49" s="205" t="str">
        <f t="shared" si="8"/>
        <v>niet invullen!</v>
      </c>
      <c r="D49" s="38">
        <f t="shared" si="1"/>
      </c>
      <c r="E49" s="54">
        <f t="shared" si="2"/>
        <v>0</v>
      </c>
      <c r="F49" s="184"/>
      <c r="G49" s="204">
        <f t="shared" si="10"/>
        <v>41</v>
      </c>
      <c r="H49" s="205" t="str">
        <f t="shared" si="11"/>
        <v>niet invullen!</v>
      </c>
      <c r="I49" s="205">
        <f t="shared" si="7"/>
      </c>
      <c r="J49" s="204">
        <f t="shared" si="4"/>
        <v>0</v>
      </c>
    </row>
    <row r="50" spans="1:10" ht="12.75">
      <c r="A50" s="37"/>
      <c r="B50" s="54">
        <f t="shared" si="9"/>
        <v>210</v>
      </c>
      <c r="C50" s="205" t="str">
        <f t="shared" si="8"/>
        <v>niet invullen!</v>
      </c>
      <c r="D50" s="38">
        <f t="shared" si="1"/>
      </c>
      <c r="E50" s="54">
        <f t="shared" si="2"/>
        <v>0</v>
      </c>
      <c r="F50" s="184"/>
      <c r="G50" s="204">
        <f t="shared" si="10"/>
        <v>42</v>
      </c>
      <c r="H50" s="205" t="str">
        <f t="shared" si="11"/>
        <v>niet invullen!</v>
      </c>
      <c r="I50" s="205">
        <f t="shared" si="7"/>
      </c>
      <c r="J50" s="204">
        <f t="shared" si="4"/>
        <v>0</v>
      </c>
    </row>
    <row r="51" spans="1:10" ht="12.75">
      <c r="A51" s="37"/>
      <c r="B51" s="54">
        <f t="shared" si="9"/>
        <v>215</v>
      </c>
      <c r="C51" s="205" t="str">
        <f t="shared" si="8"/>
        <v>niet invullen!</v>
      </c>
      <c r="D51" s="38">
        <f t="shared" si="1"/>
      </c>
      <c r="E51" s="54">
        <f t="shared" si="2"/>
        <v>0</v>
      </c>
      <c r="F51" s="184"/>
      <c r="G51" s="204">
        <f t="shared" si="10"/>
        <v>43</v>
      </c>
      <c r="H51" s="205" t="str">
        <f t="shared" si="11"/>
        <v>niet invullen!</v>
      </c>
      <c r="I51" s="205">
        <f t="shared" si="7"/>
      </c>
      <c r="J51" s="204">
        <f t="shared" si="4"/>
        <v>0</v>
      </c>
    </row>
    <row r="52" spans="1:10" ht="12.75">
      <c r="A52" s="37"/>
      <c r="B52" s="54">
        <f t="shared" si="9"/>
        <v>220</v>
      </c>
      <c r="C52" s="205" t="str">
        <f t="shared" si="8"/>
        <v>niet invullen!</v>
      </c>
      <c r="D52" s="38">
        <f t="shared" si="1"/>
      </c>
      <c r="E52" s="54">
        <f t="shared" si="2"/>
        <v>0</v>
      </c>
      <c r="F52" s="184"/>
      <c r="G52" s="204">
        <f t="shared" si="10"/>
        <v>44</v>
      </c>
      <c r="H52" s="205" t="str">
        <f t="shared" si="11"/>
        <v>niet invullen!</v>
      </c>
      <c r="I52" s="205">
        <f t="shared" si="7"/>
      </c>
      <c r="J52" s="204">
        <f t="shared" si="4"/>
        <v>0</v>
      </c>
    </row>
    <row r="53" spans="1:10" ht="12.75">
      <c r="A53" s="37"/>
      <c r="B53" s="54">
        <f t="shared" si="9"/>
        <v>225</v>
      </c>
      <c r="C53" s="205" t="str">
        <f t="shared" si="8"/>
        <v>niet invullen!</v>
      </c>
      <c r="D53" s="38">
        <f t="shared" si="1"/>
      </c>
      <c r="E53" s="54">
        <f t="shared" si="2"/>
        <v>0</v>
      </c>
      <c r="F53" s="184"/>
      <c r="G53" s="204">
        <f t="shared" si="10"/>
        <v>45</v>
      </c>
      <c r="H53" s="205" t="str">
        <f t="shared" si="11"/>
        <v>niet invullen!</v>
      </c>
      <c r="I53" s="205">
        <f t="shared" si="7"/>
      </c>
      <c r="J53" s="204">
        <f t="shared" si="4"/>
        <v>0</v>
      </c>
    </row>
    <row r="54" spans="1:10" ht="12.75">
      <c r="A54" s="37"/>
      <c r="B54" s="54">
        <f aca="true" t="shared" si="12" ref="B54:B63">B53+$C$6</f>
        <v>230</v>
      </c>
      <c r="C54" s="205" t="str">
        <f t="shared" si="8"/>
        <v>niet invullen!</v>
      </c>
      <c r="D54" s="38">
        <f t="shared" si="1"/>
      </c>
      <c r="E54" s="54">
        <f t="shared" si="2"/>
        <v>0</v>
      </c>
      <c r="F54" s="184"/>
      <c r="G54" s="204">
        <f aca="true" t="shared" si="13" ref="G54:G63">G53+$H$6</f>
        <v>46</v>
      </c>
      <c r="H54" s="205" t="str">
        <f t="shared" si="11"/>
        <v>niet invullen!</v>
      </c>
      <c r="I54" s="205">
        <f t="shared" si="7"/>
      </c>
      <c r="J54" s="204">
        <f t="shared" si="4"/>
        <v>0</v>
      </c>
    </row>
    <row r="55" spans="1:10" ht="12.75">
      <c r="A55" s="37"/>
      <c r="B55" s="54">
        <f t="shared" si="12"/>
        <v>235</v>
      </c>
      <c r="C55" s="205" t="str">
        <f t="shared" si="8"/>
        <v>niet invullen!</v>
      </c>
      <c r="D55" s="38">
        <f t="shared" si="1"/>
      </c>
      <c r="E55" s="54">
        <f t="shared" si="2"/>
        <v>0</v>
      </c>
      <c r="F55" s="184"/>
      <c r="G55" s="204">
        <f t="shared" si="13"/>
        <v>47</v>
      </c>
      <c r="H55" s="205" t="str">
        <f t="shared" si="11"/>
        <v>niet invullen!</v>
      </c>
      <c r="I55" s="205">
        <f t="shared" si="7"/>
      </c>
      <c r="J55" s="204">
        <f t="shared" si="4"/>
        <v>0</v>
      </c>
    </row>
    <row r="56" spans="1:10" ht="12.75">
      <c r="A56" s="37"/>
      <c r="B56" s="54">
        <f t="shared" si="12"/>
        <v>240</v>
      </c>
      <c r="C56" s="205" t="str">
        <f t="shared" si="8"/>
        <v>niet invullen!</v>
      </c>
      <c r="D56" s="38">
        <f t="shared" si="1"/>
      </c>
      <c r="E56" s="54">
        <f t="shared" si="2"/>
        <v>0</v>
      </c>
      <c r="F56" s="184"/>
      <c r="G56" s="204">
        <f t="shared" si="13"/>
        <v>48</v>
      </c>
      <c r="H56" s="205" t="str">
        <f t="shared" si="11"/>
        <v>niet invullen!</v>
      </c>
      <c r="I56" s="205">
        <f t="shared" si="7"/>
      </c>
      <c r="J56" s="204">
        <f t="shared" si="4"/>
        <v>0</v>
      </c>
    </row>
    <row r="57" spans="1:10" ht="12.75">
      <c r="A57" s="37"/>
      <c r="B57" s="54">
        <f t="shared" si="12"/>
        <v>245</v>
      </c>
      <c r="C57" s="205" t="str">
        <f t="shared" si="8"/>
        <v>niet invullen!</v>
      </c>
      <c r="D57" s="38">
        <f t="shared" si="1"/>
      </c>
      <c r="E57" s="54">
        <f t="shared" si="2"/>
        <v>0</v>
      </c>
      <c r="F57" s="184"/>
      <c r="G57" s="204">
        <f t="shared" si="13"/>
        <v>49</v>
      </c>
      <c r="H57" s="205" t="str">
        <f t="shared" si="11"/>
        <v>niet invullen!</v>
      </c>
      <c r="I57" s="205">
        <f t="shared" si="7"/>
      </c>
      <c r="J57" s="204">
        <f t="shared" si="4"/>
        <v>0</v>
      </c>
    </row>
    <row r="58" spans="1:10" ht="12.75">
      <c r="A58" s="37"/>
      <c r="B58" s="54">
        <f t="shared" si="12"/>
        <v>250</v>
      </c>
      <c r="C58" s="205" t="str">
        <f t="shared" si="8"/>
        <v>niet invullen!</v>
      </c>
      <c r="D58" s="38">
        <f t="shared" si="1"/>
      </c>
      <c r="E58" s="54">
        <f t="shared" si="2"/>
        <v>0</v>
      </c>
      <c r="F58" s="184"/>
      <c r="G58" s="204">
        <f t="shared" si="13"/>
        <v>50</v>
      </c>
      <c r="H58" s="205" t="str">
        <f t="shared" si="11"/>
        <v>niet invullen!</v>
      </c>
      <c r="I58" s="205">
        <f t="shared" si="7"/>
      </c>
      <c r="J58" s="204">
        <f t="shared" si="4"/>
        <v>0</v>
      </c>
    </row>
    <row r="59" spans="1:10" ht="12.75">
      <c r="A59" s="37"/>
      <c r="B59" s="54">
        <f t="shared" si="12"/>
        <v>255</v>
      </c>
      <c r="C59" s="205" t="str">
        <f t="shared" si="8"/>
        <v>niet invullen!</v>
      </c>
      <c r="D59" s="38">
        <f t="shared" si="1"/>
      </c>
      <c r="E59" s="54">
        <f t="shared" si="2"/>
        <v>0</v>
      </c>
      <c r="F59" s="184"/>
      <c r="G59" s="204">
        <f t="shared" si="13"/>
        <v>51</v>
      </c>
      <c r="H59" s="205" t="str">
        <f t="shared" si="11"/>
        <v>niet invullen!</v>
      </c>
      <c r="I59" s="205">
        <f t="shared" si="7"/>
      </c>
      <c r="J59" s="204">
        <f t="shared" si="4"/>
        <v>0</v>
      </c>
    </row>
    <row r="60" spans="1:10" ht="12.75">
      <c r="A60" s="37"/>
      <c r="B60" s="54">
        <f t="shared" si="12"/>
        <v>260</v>
      </c>
      <c r="C60" s="205" t="str">
        <f t="shared" si="8"/>
        <v>niet invullen!</v>
      </c>
      <c r="D60" s="38">
        <f t="shared" si="1"/>
      </c>
      <c r="E60" s="54">
        <f t="shared" si="2"/>
        <v>0</v>
      </c>
      <c r="F60" s="184"/>
      <c r="G60" s="204">
        <f t="shared" si="13"/>
        <v>52</v>
      </c>
      <c r="H60" s="205" t="str">
        <f t="shared" si="11"/>
        <v>niet invullen!</v>
      </c>
      <c r="I60" s="205">
        <f t="shared" si="7"/>
      </c>
      <c r="J60" s="204">
        <f t="shared" si="4"/>
        <v>0</v>
      </c>
    </row>
    <row r="61" spans="1:10" ht="12.75">
      <c r="A61" s="37"/>
      <c r="B61" s="54">
        <f t="shared" si="12"/>
        <v>265</v>
      </c>
      <c r="C61" s="205" t="str">
        <f t="shared" si="8"/>
        <v>niet invullen!</v>
      </c>
      <c r="D61" s="38">
        <f t="shared" si="1"/>
      </c>
      <c r="E61" s="54">
        <f t="shared" si="2"/>
        <v>0</v>
      </c>
      <c r="F61" s="184"/>
      <c r="G61" s="204">
        <f t="shared" si="13"/>
        <v>53</v>
      </c>
      <c r="H61" s="205" t="str">
        <f t="shared" si="11"/>
        <v>niet invullen!</v>
      </c>
      <c r="I61" s="205">
        <f t="shared" si="7"/>
      </c>
      <c r="J61" s="204">
        <f t="shared" si="4"/>
        <v>0</v>
      </c>
    </row>
    <row r="62" spans="1:10" ht="12.75">
      <c r="A62" s="37"/>
      <c r="B62" s="54">
        <f t="shared" si="12"/>
        <v>270</v>
      </c>
      <c r="C62" s="205" t="str">
        <f t="shared" si="8"/>
        <v>niet invullen!</v>
      </c>
      <c r="D62" s="38">
        <f t="shared" si="1"/>
      </c>
      <c r="E62" s="54">
        <f t="shared" si="2"/>
        <v>0</v>
      </c>
      <c r="F62" s="184"/>
      <c r="G62" s="204">
        <f t="shared" si="13"/>
        <v>54</v>
      </c>
      <c r="H62" s="205" t="str">
        <f t="shared" si="11"/>
        <v>niet invullen!</v>
      </c>
      <c r="I62" s="205">
        <f t="shared" si="7"/>
      </c>
      <c r="J62" s="204">
        <f t="shared" si="4"/>
        <v>0</v>
      </c>
    </row>
    <row r="63" spans="1:10" ht="12.75">
      <c r="A63" s="37"/>
      <c r="B63" s="54">
        <f t="shared" si="12"/>
        <v>275</v>
      </c>
      <c r="C63" s="205" t="str">
        <f t="shared" si="8"/>
        <v>niet invullen!</v>
      </c>
      <c r="D63" s="38">
        <f t="shared" si="1"/>
      </c>
      <c r="E63" s="54">
        <f t="shared" si="2"/>
        <v>0</v>
      </c>
      <c r="F63" s="184"/>
      <c r="G63" s="204">
        <f t="shared" si="13"/>
        <v>55</v>
      </c>
      <c r="H63" s="205" t="str">
        <f t="shared" si="11"/>
        <v>niet invullen!</v>
      </c>
      <c r="I63" s="205">
        <f t="shared" si="7"/>
      </c>
      <c r="J63" s="204">
        <f t="shared" si="4"/>
        <v>0</v>
      </c>
    </row>
    <row r="64" spans="1:10" ht="12.75">
      <c r="A64" s="37"/>
      <c r="B64" s="54">
        <f>B63+$C$6</f>
        <v>280</v>
      </c>
      <c r="C64" s="205" t="str">
        <f t="shared" si="8"/>
        <v>niet invullen!</v>
      </c>
      <c r="D64" s="38">
        <f t="shared" si="1"/>
      </c>
      <c r="E64" s="54">
        <f t="shared" si="2"/>
        <v>0</v>
      </c>
      <c r="F64" s="184"/>
      <c r="G64" s="204">
        <f>G63+$H$6</f>
        <v>56</v>
      </c>
      <c r="H64" s="205" t="str">
        <f t="shared" si="11"/>
        <v>niet invullen!</v>
      </c>
      <c r="I64" s="205">
        <f t="shared" si="7"/>
      </c>
      <c r="J64" s="204">
        <f t="shared" si="4"/>
        <v>0</v>
      </c>
    </row>
    <row r="65" spans="1:10" ht="12.75">
      <c r="A65" s="37"/>
      <c r="B65" s="54">
        <f>B64+$C$6</f>
        <v>285</v>
      </c>
      <c r="C65" s="205" t="str">
        <f t="shared" si="8"/>
        <v>niet invullen!</v>
      </c>
      <c r="D65" s="38">
        <f t="shared" si="1"/>
      </c>
      <c r="E65" s="54">
        <f t="shared" si="2"/>
        <v>0</v>
      </c>
      <c r="F65" s="184"/>
      <c r="G65" s="204">
        <f>G64+$H$6</f>
        <v>57</v>
      </c>
      <c r="H65" s="205" t="str">
        <f t="shared" si="11"/>
        <v>niet invullen!</v>
      </c>
      <c r="I65" s="205">
        <f t="shared" si="7"/>
      </c>
      <c r="J65" s="204">
        <f t="shared" si="4"/>
        <v>0</v>
      </c>
    </row>
    <row r="66" spans="1:10" ht="12.75">
      <c r="A66" s="37"/>
      <c r="B66" s="54">
        <f>B65+$C$6</f>
        <v>290</v>
      </c>
      <c r="C66" s="205" t="str">
        <f t="shared" si="8"/>
        <v>niet invullen!</v>
      </c>
      <c r="D66" s="38">
        <f t="shared" si="1"/>
      </c>
      <c r="E66" s="54">
        <f t="shared" si="2"/>
        <v>0</v>
      </c>
      <c r="F66" s="184"/>
      <c r="G66" s="204">
        <f>G65+$H$6</f>
        <v>58</v>
      </c>
      <c r="H66" s="205" t="str">
        <f t="shared" si="11"/>
        <v>niet invullen!</v>
      </c>
      <c r="I66" s="205">
        <f t="shared" si="7"/>
      </c>
      <c r="J66" s="204">
        <f t="shared" si="4"/>
        <v>0</v>
      </c>
    </row>
    <row r="67" spans="1:10" ht="12.75">
      <c r="A67" s="37"/>
      <c r="B67" s="54">
        <f>B66+$C$6</f>
        <v>295</v>
      </c>
      <c r="C67" s="205" t="str">
        <f t="shared" si="8"/>
        <v>niet invullen!</v>
      </c>
      <c r="D67" s="38">
        <f t="shared" si="1"/>
      </c>
      <c r="E67" s="54">
        <f t="shared" si="2"/>
        <v>0</v>
      </c>
      <c r="F67" s="184"/>
      <c r="G67" s="204">
        <f>G66+$H$6</f>
        <v>59</v>
      </c>
      <c r="H67" s="205" t="str">
        <f t="shared" si="11"/>
        <v>niet invullen!</v>
      </c>
      <c r="I67" s="205">
        <f t="shared" si="7"/>
      </c>
      <c r="J67" s="204">
        <f t="shared" si="4"/>
        <v>0</v>
      </c>
    </row>
    <row r="68" spans="1:10" ht="12.75">
      <c r="A68" s="37"/>
      <c r="B68" s="54">
        <f>B67+$C$6</f>
        <v>300</v>
      </c>
      <c r="C68" s="205" t="str">
        <f t="shared" si="8"/>
        <v>niet invullen!</v>
      </c>
      <c r="D68" s="38">
        <f t="shared" si="1"/>
      </c>
      <c r="E68" s="54">
        <f t="shared" si="2"/>
        <v>0</v>
      </c>
      <c r="F68" s="184"/>
      <c r="G68" s="204">
        <f>G67+$H$6</f>
        <v>60</v>
      </c>
      <c r="H68" s="205" t="str">
        <f t="shared" si="11"/>
        <v>niet invullen!</v>
      </c>
      <c r="I68" s="205">
        <f t="shared" si="7"/>
      </c>
      <c r="J68" s="204">
        <f t="shared" si="4"/>
        <v>0</v>
      </c>
    </row>
    <row r="69" spans="1:10" ht="12.75">
      <c r="A69" s="37"/>
      <c r="B69" s="54"/>
      <c r="C69" s="38"/>
      <c r="D69" s="38"/>
      <c r="E69" s="37"/>
      <c r="F69" s="184"/>
      <c r="G69" s="204"/>
      <c r="H69" s="38"/>
      <c r="I69" s="38"/>
      <c r="J69" s="184"/>
    </row>
    <row r="70" spans="1:10" ht="12.75">
      <c r="A70" s="37"/>
      <c r="B70" s="54"/>
      <c r="C70" s="38"/>
      <c r="D70" s="38"/>
      <c r="E70" s="37"/>
      <c r="F70" s="184"/>
      <c r="G70" s="204"/>
      <c r="H70" s="38"/>
      <c r="I70" s="38"/>
      <c r="J70" s="184"/>
    </row>
    <row r="71" spans="1:10" ht="12.75">
      <c r="A71" s="37"/>
      <c r="B71" s="54"/>
      <c r="C71" s="38"/>
      <c r="D71" s="38"/>
      <c r="E71" s="37"/>
      <c r="F71" s="184"/>
      <c r="G71" s="204"/>
      <c r="H71" s="38"/>
      <c r="I71" s="38"/>
      <c r="J71" s="184"/>
    </row>
    <row r="72" spans="1:10" ht="12.75">
      <c r="A72" s="37"/>
      <c r="B72" s="54"/>
      <c r="C72" s="38"/>
      <c r="D72" s="38"/>
      <c r="E72" s="37"/>
      <c r="F72" s="184"/>
      <c r="G72" s="204"/>
      <c r="H72" s="38"/>
      <c r="I72" s="38"/>
      <c r="J72" s="184"/>
    </row>
    <row r="73" spans="1:10" ht="12.75">
      <c r="A73" s="37"/>
      <c r="B73" s="54"/>
      <c r="C73" s="38"/>
      <c r="D73" s="38"/>
      <c r="E73" s="37"/>
      <c r="F73" s="184"/>
      <c r="G73" s="204"/>
      <c r="H73" s="38"/>
      <c r="I73" s="38"/>
      <c r="J73" s="184"/>
    </row>
    <row r="74" spans="1:10" ht="12.75">
      <c r="A74" s="37"/>
      <c r="B74" s="54"/>
      <c r="C74" s="38"/>
      <c r="D74" s="38"/>
      <c r="E74" s="37"/>
      <c r="F74" s="184"/>
      <c r="G74" s="204"/>
      <c r="H74" s="38"/>
      <c r="I74" s="38"/>
      <c r="J74" s="184"/>
    </row>
  </sheetData>
  <sheetProtection sheet="1" objects="1" scenarios="1"/>
  <printOptions/>
  <pageMargins left="0.75" right="0.75" top="1" bottom="1" header="0.5" footer="0.5"/>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61"/>
  <dimension ref="A1:U108"/>
  <sheetViews>
    <sheetView showGridLines="0" zoomScale="90" zoomScaleNormal="90" workbookViewId="0" topLeftCell="A1">
      <selection activeCell="B28" sqref="B28"/>
    </sheetView>
  </sheetViews>
  <sheetFormatPr defaultColWidth="9.140625" defaultRowHeight="12.75"/>
  <cols>
    <col min="1" max="1" width="35.28125" style="20" customWidth="1"/>
    <col min="2" max="5" width="8.140625" style="20" customWidth="1"/>
    <col min="6" max="9" width="7.57421875" style="20" customWidth="1"/>
    <col min="10" max="10" width="7.7109375" style="20" customWidth="1"/>
    <col min="11" max="11" width="5.421875" style="20" customWidth="1"/>
    <col min="12" max="12" width="7.28125" style="20" customWidth="1"/>
    <col min="13" max="13" width="7.140625" style="20" customWidth="1"/>
    <col min="14" max="18" width="6.140625" style="20" customWidth="1"/>
    <col min="19" max="19" width="6.28125" style="20" customWidth="1"/>
    <col min="20" max="16384" width="8.8515625" style="20" customWidth="1"/>
  </cols>
  <sheetData>
    <row r="1" ht="20.25">
      <c r="A1" s="41" t="s">
        <v>276</v>
      </c>
    </row>
    <row r="2" s="42" customFormat="1" ht="12.75"/>
    <row r="3" s="42" customFormat="1" ht="12.75">
      <c r="A3" s="62" t="s">
        <v>298</v>
      </c>
    </row>
    <row r="4" s="42" customFormat="1" ht="12.75">
      <c r="A4" s="107" t="s">
        <v>299</v>
      </c>
    </row>
    <row r="5" s="42" customFormat="1" ht="12.75">
      <c r="A5" s="42" t="s">
        <v>277</v>
      </c>
    </row>
    <row r="6" s="42" customFormat="1" ht="12.75">
      <c r="A6" s="42" t="s">
        <v>292</v>
      </c>
    </row>
    <row r="7" s="42" customFormat="1" ht="12.75">
      <c r="A7" s="42" t="s">
        <v>297</v>
      </c>
    </row>
    <row r="8" s="42" customFormat="1" ht="12.75">
      <c r="A8" s="42" t="s">
        <v>300</v>
      </c>
    </row>
    <row r="9" s="42" customFormat="1" ht="12.75">
      <c r="A9" s="42" t="s">
        <v>402</v>
      </c>
    </row>
    <row r="10" s="42" customFormat="1" ht="12.75"/>
    <row r="11" s="42" customFormat="1" ht="12.75"/>
    <row r="12" spans="1:19" s="19" customFormat="1" ht="72.75" customHeight="1">
      <c r="A12" s="144" t="str">
        <f>A5</f>
        <v>Effectenoverzicht</v>
      </c>
      <c r="B12" s="145" t="str">
        <f>Result!A27</f>
        <v>M1 grondkwaliteit</v>
      </c>
      <c r="C12" s="146" t="str">
        <f>Result!A28</f>
        <v>M2 grondwaterkwaliteit</v>
      </c>
      <c r="D12" s="146" t="str">
        <f>Result!A29</f>
        <v>M3 verlies grond</v>
      </c>
      <c r="E12" s="146" t="str">
        <f>Result!A30</f>
        <v>M4 verlies grondwater</v>
      </c>
      <c r="F12" s="146" t="str">
        <f>Result!A31</f>
        <v>M5 energiegebruik</v>
      </c>
      <c r="G12" s="146" t="str">
        <f>Result!A32</f>
        <v>M6 luchtemissies</v>
      </c>
      <c r="H12" s="146" t="str">
        <f>Result!A33</f>
        <v>M7 opp. wateremissies</v>
      </c>
      <c r="I12" s="146" t="str">
        <f>Result!A34</f>
        <v>M8 afvalvorming</v>
      </c>
      <c r="J12" s="146" t="str">
        <f>Result!A35</f>
        <v>M9 ruimtebeslag</v>
      </c>
      <c r="K12" s="19" t="s">
        <v>54</v>
      </c>
      <c r="L12" s="79"/>
      <c r="M12" s="79"/>
      <c r="N12" s="79"/>
      <c r="O12" s="79"/>
      <c r="P12" s="79"/>
      <c r="Q12" s="79"/>
      <c r="R12" s="79"/>
      <c r="S12" s="79"/>
    </row>
    <row r="13" spans="1:19" s="148" customFormat="1" ht="21" customHeight="1">
      <c r="A13" s="147" t="s">
        <v>98</v>
      </c>
      <c r="B13" s="150" t="s">
        <v>301</v>
      </c>
      <c r="C13" s="150" t="s">
        <v>302</v>
      </c>
      <c r="D13" s="150" t="s">
        <v>68</v>
      </c>
      <c r="E13" s="150" t="s">
        <v>293</v>
      </c>
      <c r="F13" s="150" t="s">
        <v>73</v>
      </c>
      <c r="G13" s="150" t="s">
        <v>294</v>
      </c>
      <c r="H13" s="150" t="s">
        <v>303</v>
      </c>
      <c r="I13" s="150" t="s">
        <v>68</v>
      </c>
      <c r="J13" s="150" t="s">
        <v>295</v>
      </c>
      <c r="L13" s="149"/>
      <c r="M13" s="149"/>
      <c r="N13" s="149"/>
      <c r="O13" s="149"/>
      <c r="P13" s="149"/>
      <c r="Q13" s="149"/>
      <c r="R13" s="149"/>
      <c r="S13" s="149"/>
    </row>
    <row r="14" spans="1:19" ht="12.75">
      <c r="A14" s="135" t="s">
        <v>311</v>
      </c>
      <c r="B14" s="69">
        <v>0</v>
      </c>
      <c r="C14" s="69">
        <v>0</v>
      </c>
      <c r="D14" s="69">
        <v>0</v>
      </c>
      <c r="E14" s="69">
        <v>0</v>
      </c>
      <c r="F14" s="69">
        <v>0</v>
      </c>
      <c r="G14" s="69">
        <v>0</v>
      </c>
      <c r="H14" s="69">
        <v>0</v>
      </c>
      <c r="I14" s="69">
        <v>0</v>
      </c>
      <c r="J14" s="69">
        <v>0</v>
      </c>
      <c r="L14" s="79"/>
      <c r="M14" s="79"/>
      <c r="N14" s="79"/>
      <c r="O14" s="79"/>
      <c r="P14" s="79"/>
      <c r="Q14" s="79"/>
      <c r="R14" s="79"/>
      <c r="S14" s="79"/>
    </row>
    <row r="15" spans="1:19" ht="12.75">
      <c r="A15" s="135" t="str">
        <f>Result!B26</f>
        <v>Nulvariant</v>
      </c>
      <c r="B15" s="69">
        <f>Result!B27</f>
        <v>0</v>
      </c>
      <c r="C15" s="69">
        <f>Result!B28</f>
        <v>0</v>
      </c>
      <c r="D15" s="69">
        <v>0</v>
      </c>
      <c r="E15" s="69">
        <v>0</v>
      </c>
      <c r="F15" s="69">
        <v>0</v>
      </c>
      <c r="G15" s="69">
        <v>0</v>
      </c>
      <c r="H15" s="69">
        <v>0</v>
      </c>
      <c r="I15" s="69">
        <v>0</v>
      </c>
      <c r="J15" s="69">
        <v>0</v>
      </c>
      <c r="L15" s="79"/>
      <c r="M15" s="79"/>
      <c r="N15" s="79"/>
      <c r="O15" s="79"/>
      <c r="P15" s="79"/>
      <c r="Q15" s="79"/>
      <c r="R15" s="79"/>
      <c r="S15" s="79"/>
    </row>
    <row r="16" spans="1:19" ht="12.75">
      <c r="A16" s="135" t="str">
        <f>Result!C26</f>
        <v>Variant I</v>
      </c>
      <c r="B16" s="69">
        <f>Result!C27</f>
        <v>0</v>
      </c>
      <c r="C16" s="69">
        <f>Result!C28</f>
        <v>0</v>
      </c>
      <c r="D16" s="69">
        <f>Result!C29</f>
        <v>0</v>
      </c>
      <c r="E16" s="69">
        <f>Result!C30</f>
        <v>0</v>
      </c>
      <c r="F16" s="69">
        <f>Result!C31</f>
        <v>0</v>
      </c>
      <c r="G16" s="69">
        <f>Result!C32</f>
        <v>0</v>
      </c>
      <c r="H16" s="69">
        <f>Result!C33</f>
        <v>0</v>
      </c>
      <c r="I16" s="69">
        <f>Result!C34</f>
        <v>0</v>
      </c>
      <c r="J16" s="69">
        <f>Result!C35</f>
        <v>0</v>
      </c>
      <c r="L16" s="79"/>
      <c r="M16" s="79"/>
      <c r="N16" s="79"/>
      <c r="O16" s="79"/>
      <c r="P16" s="79"/>
      <c r="Q16" s="79"/>
      <c r="R16" s="79"/>
      <c r="S16" s="79"/>
    </row>
    <row r="17" spans="1:19" ht="12.75">
      <c r="A17" s="135" t="str">
        <f>Result!D26</f>
        <v>Variant II</v>
      </c>
      <c r="B17" s="69">
        <f>Result!D27</f>
        <v>0</v>
      </c>
      <c r="C17" s="69">
        <f>Result!D28</f>
        <v>0</v>
      </c>
      <c r="D17" s="69">
        <f>Result!D29</f>
        <v>0</v>
      </c>
      <c r="E17" s="69">
        <f>Result!D30</f>
        <v>0</v>
      </c>
      <c r="F17" s="69">
        <f>Result!D31</f>
        <v>0</v>
      </c>
      <c r="G17" s="69">
        <f>Result!D32</f>
        <v>0</v>
      </c>
      <c r="H17" s="69">
        <f>Result!D33</f>
        <v>0</v>
      </c>
      <c r="I17" s="69">
        <f>Result!D34</f>
        <v>0</v>
      </c>
      <c r="J17" s="69">
        <f>Result!D35</f>
        <v>0</v>
      </c>
      <c r="L17" s="79"/>
      <c r="M17" s="79"/>
      <c r="N17" s="79"/>
      <c r="O17" s="79"/>
      <c r="P17" s="79"/>
      <c r="Q17" s="79"/>
      <c r="R17" s="79"/>
      <c r="S17" s="79"/>
    </row>
    <row r="18" spans="1:19" ht="12.75">
      <c r="A18" s="135" t="str">
        <f>Result!E26</f>
        <v>Variant III</v>
      </c>
      <c r="B18" s="69">
        <f>Result!E27</f>
        <v>0</v>
      </c>
      <c r="C18" s="69">
        <f>Result!E28</f>
        <v>0</v>
      </c>
      <c r="D18" s="69">
        <f>Result!E29</f>
        <v>0</v>
      </c>
      <c r="E18" s="69">
        <f>Result!E30</f>
        <v>0</v>
      </c>
      <c r="F18" s="69">
        <f>Result!E31</f>
        <v>0</v>
      </c>
      <c r="G18" s="69">
        <f>Result!E32</f>
        <v>0</v>
      </c>
      <c r="H18" s="69">
        <f>Result!E33</f>
        <v>0</v>
      </c>
      <c r="I18" s="69">
        <f>Result!E34</f>
        <v>0</v>
      </c>
      <c r="J18" s="69">
        <f>Result!E35</f>
        <v>0</v>
      </c>
      <c r="L18" s="79"/>
      <c r="M18" s="79"/>
      <c r="N18" s="79"/>
      <c r="O18" s="79"/>
      <c r="P18" s="79"/>
      <c r="Q18" s="79"/>
      <c r="R18" s="79"/>
      <c r="S18" s="79"/>
    </row>
    <row r="19" spans="1:19" ht="12.75">
      <c r="A19" s="135" t="str">
        <f>Result!F26</f>
        <v>Variant IV</v>
      </c>
      <c r="B19" s="69">
        <f>Result!F27</f>
        <v>0</v>
      </c>
      <c r="C19" s="69">
        <f>Result!F28</f>
        <v>0</v>
      </c>
      <c r="D19" s="69">
        <f>Result!F29</f>
        <v>0</v>
      </c>
      <c r="E19" s="69">
        <f>Result!F30</f>
        <v>0</v>
      </c>
      <c r="F19" s="69">
        <f>Result!F31</f>
        <v>0</v>
      </c>
      <c r="G19" s="69">
        <f>Result!F32</f>
        <v>0</v>
      </c>
      <c r="H19" s="69">
        <f>Result!F33</f>
        <v>0</v>
      </c>
      <c r="I19" s="69">
        <f>Result!F34</f>
        <v>0</v>
      </c>
      <c r="J19" s="69">
        <f>Result!F35</f>
        <v>0</v>
      </c>
      <c r="L19" s="79"/>
      <c r="M19" s="79"/>
      <c r="N19" s="79"/>
      <c r="O19" s="79"/>
      <c r="P19" s="79"/>
      <c r="Q19" s="79"/>
      <c r="R19" s="79"/>
      <c r="S19" s="79"/>
    </row>
    <row r="20" spans="1:19" ht="12.75">
      <c r="A20" s="135" t="str">
        <f>Result!G26</f>
        <v>Variant V</v>
      </c>
      <c r="B20" s="69">
        <f>Result!G27</f>
        <v>0</v>
      </c>
      <c r="C20" s="69">
        <f>Result!G28</f>
        <v>0</v>
      </c>
      <c r="D20" s="69">
        <f>Result!G29</f>
        <v>0</v>
      </c>
      <c r="E20" s="69">
        <f>Result!G30</f>
        <v>0</v>
      </c>
      <c r="F20" s="69">
        <f>Result!G31</f>
        <v>0</v>
      </c>
      <c r="G20" s="69">
        <f>Result!G32</f>
        <v>0</v>
      </c>
      <c r="H20" s="69">
        <f>Result!G33</f>
        <v>0</v>
      </c>
      <c r="I20" s="69">
        <f>Result!G34</f>
        <v>0</v>
      </c>
      <c r="J20" s="69">
        <f>Result!G35</f>
        <v>0</v>
      </c>
      <c r="L20" s="79"/>
      <c r="M20" s="79"/>
      <c r="N20" s="79"/>
      <c r="O20" s="79"/>
      <c r="P20" s="79"/>
      <c r="Q20" s="79"/>
      <c r="R20" s="79"/>
      <c r="S20" s="79"/>
    </row>
    <row r="21" spans="1:19" ht="12.75">
      <c r="A21" s="135" t="str">
        <f>Result!H26</f>
        <v>Variant VI</v>
      </c>
      <c r="B21" s="69">
        <f>Result!H27</f>
        <v>0</v>
      </c>
      <c r="C21" s="69">
        <f>Result!H28</f>
        <v>0</v>
      </c>
      <c r="D21" s="69">
        <f>Result!H29</f>
        <v>0</v>
      </c>
      <c r="E21" s="69">
        <f>Result!H30</f>
        <v>0</v>
      </c>
      <c r="F21" s="69">
        <f>Result!H31</f>
        <v>0</v>
      </c>
      <c r="G21" s="69">
        <f>Result!H32</f>
        <v>0</v>
      </c>
      <c r="H21" s="69">
        <f>Result!H33</f>
        <v>0</v>
      </c>
      <c r="I21" s="69">
        <f>Result!H34</f>
        <v>0</v>
      </c>
      <c r="J21" s="69">
        <f>Result!H35</f>
        <v>0</v>
      </c>
      <c r="L21" s="79"/>
      <c r="M21" s="79"/>
      <c r="N21" s="79"/>
      <c r="O21" s="79"/>
      <c r="P21" s="79"/>
      <c r="Q21" s="79"/>
      <c r="R21" s="79"/>
      <c r="S21" s="79"/>
    </row>
    <row r="22" spans="1:19" ht="12.75">
      <c r="A22" s="135" t="str">
        <f>Result!I26</f>
        <v>Variant VII</v>
      </c>
      <c r="B22" s="69">
        <f>Result!I27</f>
        <v>0</v>
      </c>
      <c r="C22" s="69">
        <f>Result!I28</f>
        <v>0</v>
      </c>
      <c r="D22" s="69">
        <f>Result!I29</f>
        <v>0</v>
      </c>
      <c r="E22" s="69">
        <f>Result!I30</f>
        <v>0</v>
      </c>
      <c r="F22" s="69">
        <f>Result!I31</f>
        <v>0</v>
      </c>
      <c r="G22" s="69">
        <f>Result!I32</f>
        <v>0</v>
      </c>
      <c r="H22" s="69">
        <f>Result!I33</f>
        <v>0</v>
      </c>
      <c r="I22" s="69">
        <f>Result!I34</f>
        <v>0</v>
      </c>
      <c r="J22" s="69">
        <f>Result!I35</f>
        <v>0</v>
      </c>
      <c r="L22" s="79"/>
      <c r="M22" s="79"/>
      <c r="N22" s="79"/>
      <c r="O22" s="79"/>
      <c r="P22" s="79"/>
      <c r="Q22" s="79"/>
      <c r="R22" s="79"/>
      <c r="S22" s="79"/>
    </row>
    <row r="23" spans="1:19" ht="12.75">
      <c r="A23" s="135" t="str">
        <f>Result!J26</f>
        <v>MF-referentie</v>
      </c>
      <c r="B23" s="69">
        <f>Result!J27</f>
        <v>0</v>
      </c>
      <c r="C23" s="69">
        <f>Result!J28</f>
        <v>0</v>
      </c>
      <c r="D23" s="69">
        <f>Result!J29</f>
        <v>0</v>
      </c>
      <c r="E23" s="69">
        <f>Result!J30</f>
        <v>0</v>
      </c>
      <c r="F23" s="69">
        <f>Result!J31</f>
        <v>0</v>
      </c>
      <c r="G23" s="69">
        <f>Result!J32</f>
        <v>0</v>
      </c>
      <c r="H23" s="69">
        <f>Result!J33</f>
        <v>0</v>
      </c>
      <c r="I23" s="69">
        <f>Result!J34</f>
        <v>0</v>
      </c>
      <c r="J23" s="69">
        <f>Result!J35</f>
        <v>0</v>
      </c>
      <c r="L23" s="79"/>
      <c r="M23" s="79"/>
      <c r="N23" s="79"/>
      <c r="O23" s="79"/>
      <c r="P23" s="79"/>
      <c r="Q23" s="79"/>
      <c r="R23" s="79"/>
      <c r="S23" s="79"/>
    </row>
    <row r="24" spans="1:19" ht="12.75">
      <c r="A24" s="135" t="str">
        <f>Result!K26</f>
        <v>Theoretisch maximum</v>
      </c>
      <c r="B24" s="69">
        <f>Result!K27</f>
        <v>0</v>
      </c>
      <c r="C24" s="69">
        <f>Result!K28</f>
        <v>0</v>
      </c>
      <c r="D24" s="69">
        <f>Result!K29</f>
        <v>0</v>
      </c>
      <c r="E24" s="69">
        <f>Result!K30</f>
        <v>0</v>
      </c>
      <c r="F24" s="69">
        <f>Result!K31</f>
        <v>0</v>
      </c>
      <c r="G24" s="69">
        <f>Result!K32</f>
        <v>0</v>
      </c>
      <c r="H24" s="69">
        <f>Result!K33</f>
        <v>0</v>
      </c>
      <c r="I24" s="69">
        <f>Result!K34</f>
        <v>0</v>
      </c>
      <c r="J24" s="69">
        <f>Result!K35</f>
        <v>0</v>
      </c>
      <c r="L24" s="79"/>
      <c r="M24" s="79"/>
      <c r="N24" s="79"/>
      <c r="O24" s="79"/>
      <c r="P24" s="79"/>
      <c r="Q24" s="79"/>
      <c r="R24" s="79"/>
      <c r="S24" s="79"/>
    </row>
    <row r="27" spans="1:10" ht="84.75" customHeight="1">
      <c r="A27" s="137" t="str">
        <f>A6</f>
        <v>Genormaliseerd effectenoverzicht</v>
      </c>
      <c r="B27" s="143" t="str">
        <f>B12</f>
        <v>M1 grondkwaliteit</v>
      </c>
      <c r="C27" s="143" t="str">
        <f aca="true" t="shared" si="0" ref="C27:J27">C12</f>
        <v>M2 grondwaterkwaliteit</v>
      </c>
      <c r="D27" s="143" t="str">
        <f t="shared" si="0"/>
        <v>M3 verlies grond</v>
      </c>
      <c r="E27" s="143" t="str">
        <f t="shared" si="0"/>
        <v>M4 verlies grondwater</v>
      </c>
      <c r="F27" s="143" t="str">
        <f t="shared" si="0"/>
        <v>M5 energiegebruik</v>
      </c>
      <c r="G27" s="143" t="str">
        <f t="shared" si="0"/>
        <v>M6 luchtemissies</v>
      </c>
      <c r="H27" s="143" t="str">
        <f t="shared" si="0"/>
        <v>M7 opp. wateremissies</v>
      </c>
      <c r="I27" s="143" t="str">
        <f t="shared" si="0"/>
        <v>M8 afvalvorming</v>
      </c>
      <c r="J27" s="143" t="str">
        <f t="shared" si="0"/>
        <v>M9 ruimtebeslag</v>
      </c>
    </row>
    <row r="28" spans="1:10" ht="12.75">
      <c r="A28" s="135" t="str">
        <f>A14</f>
        <v>Huidige situatie</v>
      </c>
      <c r="B28" s="93" t="e">
        <f aca="true" t="shared" si="1" ref="B28:C38">B14/MAX(B$14:B$24)</f>
        <v>#DIV/0!</v>
      </c>
      <c r="C28" s="93" t="e">
        <f t="shared" si="1"/>
        <v>#DIV/0!</v>
      </c>
      <c r="D28" s="93">
        <f aca="true" t="shared" si="2" ref="D28:J29">IF(MIN(D$14:D$24)&lt;&gt;0,D14/MIN(D$14:D$24),0)</f>
        <v>0</v>
      </c>
      <c r="E28" s="93">
        <f t="shared" si="2"/>
        <v>0</v>
      </c>
      <c r="F28" s="93">
        <f t="shared" si="2"/>
        <v>0</v>
      </c>
      <c r="G28" s="93">
        <f t="shared" si="2"/>
        <v>0</v>
      </c>
      <c r="H28" s="93">
        <f t="shared" si="2"/>
        <v>0</v>
      </c>
      <c r="I28" s="93">
        <f t="shared" si="2"/>
        <v>0</v>
      </c>
      <c r="J28" s="93">
        <f t="shared" si="2"/>
        <v>0</v>
      </c>
    </row>
    <row r="29" spans="1:10" ht="12.75">
      <c r="A29" s="135" t="str">
        <f>A15</f>
        <v>Nulvariant</v>
      </c>
      <c r="B29" s="93" t="e">
        <f t="shared" si="1"/>
        <v>#DIV/0!</v>
      </c>
      <c r="C29" s="93" t="e">
        <f t="shared" si="1"/>
        <v>#DIV/0!</v>
      </c>
      <c r="D29" s="93">
        <f t="shared" si="2"/>
        <v>0</v>
      </c>
      <c r="E29" s="93">
        <f t="shared" si="2"/>
        <v>0</v>
      </c>
      <c r="F29" s="93">
        <f t="shared" si="2"/>
        <v>0</v>
      </c>
      <c r="G29" s="93">
        <f t="shared" si="2"/>
        <v>0</v>
      </c>
      <c r="H29" s="93">
        <f t="shared" si="2"/>
        <v>0</v>
      </c>
      <c r="I29" s="93">
        <f t="shared" si="2"/>
        <v>0</v>
      </c>
      <c r="J29" s="93">
        <f t="shared" si="2"/>
        <v>0</v>
      </c>
    </row>
    <row r="30" spans="1:10" ht="12.75">
      <c r="A30" s="135" t="str">
        <f aca="true" t="shared" si="3" ref="A30:A38">A16</f>
        <v>Variant I</v>
      </c>
      <c r="B30" s="93" t="e">
        <f t="shared" si="1"/>
        <v>#DIV/0!</v>
      </c>
      <c r="C30" s="93" t="e">
        <f t="shared" si="1"/>
        <v>#DIV/0!</v>
      </c>
      <c r="D30" s="93">
        <f aca="true" t="shared" si="4" ref="D30:J30">IF(MIN(D$14:D$24)&lt;&gt;0,-D16/MIN(D$14:D$24),0)</f>
        <v>0</v>
      </c>
      <c r="E30" s="93">
        <f t="shared" si="4"/>
        <v>0</v>
      </c>
      <c r="F30" s="93">
        <f t="shared" si="4"/>
        <v>0</v>
      </c>
      <c r="G30" s="93">
        <f t="shared" si="4"/>
        <v>0</v>
      </c>
      <c r="H30" s="93">
        <f t="shared" si="4"/>
        <v>0</v>
      </c>
      <c r="I30" s="93">
        <f t="shared" si="4"/>
        <v>0</v>
      </c>
      <c r="J30" s="93">
        <f t="shared" si="4"/>
        <v>0</v>
      </c>
    </row>
    <row r="31" spans="1:10" ht="12.75">
      <c r="A31" s="135" t="str">
        <f t="shared" si="3"/>
        <v>Variant II</v>
      </c>
      <c r="B31" s="93" t="e">
        <f t="shared" si="1"/>
        <v>#DIV/0!</v>
      </c>
      <c r="C31" s="93" t="e">
        <f t="shared" si="1"/>
        <v>#DIV/0!</v>
      </c>
      <c r="D31" s="93">
        <f aca="true" t="shared" si="5" ref="D31:J31">IF(MIN(D$14:D$24)&lt;&gt;0,-D17/MIN(D$14:D$24),0)</f>
        <v>0</v>
      </c>
      <c r="E31" s="93">
        <f t="shared" si="5"/>
        <v>0</v>
      </c>
      <c r="F31" s="93">
        <f t="shared" si="5"/>
        <v>0</v>
      </c>
      <c r="G31" s="93">
        <f t="shared" si="5"/>
        <v>0</v>
      </c>
      <c r="H31" s="93">
        <f t="shared" si="5"/>
        <v>0</v>
      </c>
      <c r="I31" s="93">
        <f t="shared" si="5"/>
        <v>0</v>
      </c>
      <c r="J31" s="93">
        <f t="shared" si="5"/>
        <v>0</v>
      </c>
    </row>
    <row r="32" spans="1:10" ht="12.75">
      <c r="A32" s="135" t="str">
        <f t="shared" si="3"/>
        <v>Variant III</v>
      </c>
      <c r="B32" s="93" t="e">
        <f t="shared" si="1"/>
        <v>#DIV/0!</v>
      </c>
      <c r="C32" s="93" t="e">
        <f t="shared" si="1"/>
        <v>#DIV/0!</v>
      </c>
      <c r="D32" s="93">
        <f aca="true" t="shared" si="6" ref="D32:J32">IF(MIN(D$14:D$24)&lt;&gt;0,-D18/MIN(D$14:D$24),0)</f>
        <v>0</v>
      </c>
      <c r="E32" s="93">
        <f t="shared" si="6"/>
        <v>0</v>
      </c>
      <c r="F32" s="93">
        <f t="shared" si="6"/>
        <v>0</v>
      </c>
      <c r="G32" s="93">
        <f t="shared" si="6"/>
        <v>0</v>
      </c>
      <c r="H32" s="93">
        <f t="shared" si="6"/>
        <v>0</v>
      </c>
      <c r="I32" s="93">
        <f t="shared" si="6"/>
        <v>0</v>
      </c>
      <c r="J32" s="93">
        <f t="shared" si="6"/>
        <v>0</v>
      </c>
    </row>
    <row r="33" spans="1:10" ht="12.75">
      <c r="A33" s="135" t="str">
        <f t="shared" si="3"/>
        <v>Variant IV</v>
      </c>
      <c r="B33" s="93" t="e">
        <f t="shared" si="1"/>
        <v>#DIV/0!</v>
      </c>
      <c r="C33" s="93" t="e">
        <f t="shared" si="1"/>
        <v>#DIV/0!</v>
      </c>
      <c r="D33" s="93">
        <f aca="true" t="shared" si="7" ref="D33:J33">IF(MIN(D$14:D$24)&lt;&gt;0,-D19/MIN(D$14:D$24),0)</f>
        <v>0</v>
      </c>
      <c r="E33" s="93">
        <f t="shared" si="7"/>
        <v>0</v>
      </c>
      <c r="F33" s="93">
        <f t="shared" si="7"/>
        <v>0</v>
      </c>
      <c r="G33" s="93">
        <f t="shared" si="7"/>
        <v>0</v>
      </c>
      <c r="H33" s="93">
        <f t="shared" si="7"/>
        <v>0</v>
      </c>
      <c r="I33" s="93">
        <f t="shared" si="7"/>
        <v>0</v>
      </c>
      <c r="J33" s="93">
        <f t="shared" si="7"/>
        <v>0</v>
      </c>
    </row>
    <row r="34" spans="1:10" ht="12.75">
      <c r="A34" s="135" t="str">
        <f t="shared" si="3"/>
        <v>Variant V</v>
      </c>
      <c r="B34" s="93" t="e">
        <f t="shared" si="1"/>
        <v>#DIV/0!</v>
      </c>
      <c r="C34" s="93" t="e">
        <f t="shared" si="1"/>
        <v>#DIV/0!</v>
      </c>
      <c r="D34" s="93">
        <f aca="true" t="shared" si="8" ref="D34:J34">IF(MIN(D$14:D$24)&lt;&gt;0,-D20/MIN(D$14:D$24),0)</f>
        <v>0</v>
      </c>
      <c r="E34" s="93">
        <f t="shared" si="8"/>
        <v>0</v>
      </c>
      <c r="F34" s="93">
        <f t="shared" si="8"/>
        <v>0</v>
      </c>
      <c r="G34" s="93">
        <f t="shared" si="8"/>
        <v>0</v>
      </c>
      <c r="H34" s="93">
        <f t="shared" si="8"/>
        <v>0</v>
      </c>
      <c r="I34" s="93">
        <f t="shared" si="8"/>
        <v>0</v>
      </c>
      <c r="J34" s="93">
        <f t="shared" si="8"/>
        <v>0</v>
      </c>
    </row>
    <row r="35" spans="1:10" ht="12.75">
      <c r="A35" s="135" t="str">
        <f t="shared" si="3"/>
        <v>Variant VI</v>
      </c>
      <c r="B35" s="93" t="e">
        <f t="shared" si="1"/>
        <v>#DIV/0!</v>
      </c>
      <c r="C35" s="93" t="e">
        <f t="shared" si="1"/>
        <v>#DIV/0!</v>
      </c>
      <c r="D35" s="93">
        <f aca="true" t="shared" si="9" ref="D35:J35">IF(MIN(D$14:D$24)&lt;&gt;0,-D21/MIN(D$14:D$24),0)</f>
        <v>0</v>
      </c>
      <c r="E35" s="93">
        <f t="shared" si="9"/>
        <v>0</v>
      </c>
      <c r="F35" s="93">
        <f t="shared" si="9"/>
        <v>0</v>
      </c>
      <c r="G35" s="93">
        <f t="shared" si="9"/>
        <v>0</v>
      </c>
      <c r="H35" s="93">
        <f t="shared" si="9"/>
        <v>0</v>
      </c>
      <c r="I35" s="93">
        <f t="shared" si="9"/>
        <v>0</v>
      </c>
      <c r="J35" s="93">
        <f t="shared" si="9"/>
        <v>0</v>
      </c>
    </row>
    <row r="36" spans="1:10" ht="12.75">
      <c r="A36" s="135" t="str">
        <f t="shared" si="3"/>
        <v>Variant VII</v>
      </c>
      <c r="B36" s="93" t="e">
        <f t="shared" si="1"/>
        <v>#DIV/0!</v>
      </c>
      <c r="C36" s="93" t="e">
        <f t="shared" si="1"/>
        <v>#DIV/0!</v>
      </c>
      <c r="D36" s="93">
        <f aca="true" t="shared" si="10" ref="D36:J36">IF(MIN(D$14:D$24)&lt;&gt;0,-D22/MIN(D$14:D$24),0)</f>
        <v>0</v>
      </c>
      <c r="E36" s="93">
        <f t="shared" si="10"/>
        <v>0</v>
      </c>
      <c r="F36" s="93">
        <f t="shared" si="10"/>
        <v>0</v>
      </c>
      <c r="G36" s="93">
        <f t="shared" si="10"/>
        <v>0</v>
      </c>
      <c r="H36" s="93">
        <f t="shared" si="10"/>
        <v>0</v>
      </c>
      <c r="I36" s="93">
        <f t="shared" si="10"/>
        <v>0</v>
      </c>
      <c r="J36" s="93">
        <f t="shared" si="10"/>
        <v>0</v>
      </c>
    </row>
    <row r="37" spans="1:10" ht="12.75">
      <c r="A37" s="135" t="str">
        <f t="shared" si="3"/>
        <v>MF-referentie</v>
      </c>
      <c r="B37" s="93" t="e">
        <f t="shared" si="1"/>
        <v>#DIV/0!</v>
      </c>
      <c r="C37" s="93" t="e">
        <f t="shared" si="1"/>
        <v>#DIV/0!</v>
      </c>
      <c r="D37" s="93">
        <f aca="true" t="shared" si="11" ref="D37:J37">IF(MIN(D$14:D$24)&lt;&gt;0,-D23/MIN(D$14:D$24),0)</f>
        <v>0</v>
      </c>
      <c r="E37" s="93">
        <f t="shared" si="11"/>
        <v>0</v>
      </c>
      <c r="F37" s="93">
        <f t="shared" si="11"/>
        <v>0</v>
      </c>
      <c r="G37" s="93">
        <f t="shared" si="11"/>
        <v>0</v>
      </c>
      <c r="H37" s="93">
        <f t="shared" si="11"/>
        <v>0</v>
      </c>
      <c r="I37" s="93">
        <f t="shared" si="11"/>
        <v>0</v>
      </c>
      <c r="J37" s="93">
        <f t="shared" si="11"/>
        <v>0</v>
      </c>
    </row>
    <row r="38" spans="1:10" ht="12.75">
      <c r="A38" s="135" t="str">
        <f t="shared" si="3"/>
        <v>Theoretisch maximum</v>
      </c>
      <c r="B38" s="93" t="e">
        <f t="shared" si="1"/>
        <v>#DIV/0!</v>
      </c>
      <c r="C38" s="93" t="e">
        <f t="shared" si="1"/>
        <v>#DIV/0!</v>
      </c>
      <c r="D38" s="93">
        <f aca="true" t="shared" si="12" ref="D38:J38">IF(MIN(D$14:D$24)&lt;&gt;0,-D24/MIN(D$14:D$24),0)</f>
        <v>0</v>
      </c>
      <c r="E38" s="93">
        <f t="shared" si="12"/>
        <v>0</v>
      </c>
      <c r="F38" s="93">
        <f t="shared" si="12"/>
        <v>0</v>
      </c>
      <c r="G38" s="93">
        <f t="shared" si="12"/>
        <v>0</v>
      </c>
      <c r="H38" s="93">
        <f t="shared" si="12"/>
        <v>0</v>
      </c>
      <c r="I38" s="93">
        <f t="shared" si="12"/>
        <v>0</v>
      </c>
      <c r="J38" s="93">
        <f t="shared" si="12"/>
        <v>0</v>
      </c>
    </row>
    <row r="39" ht="12.75">
      <c r="A39" s="76"/>
    </row>
    <row r="41" ht="12.75">
      <c r="A41" s="107" t="str">
        <f>A7</f>
        <v>Keuzemenu vergelijking varianten</v>
      </c>
    </row>
    <row r="42" spans="1:2" ht="12.75">
      <c r="A42" s="20" t="s">
        <v>289</v>
      </c>
      <c r="B42" s="20" t="s">
        <v>290</v>
      </c>
    </row>
    <row r="43" spans="1:2" ht="12.75">
      <c r="A43" s="20" t="s">
        <v>288</v>
      </c>
      <c r="B43" s="20" t="s">
        <v>291</v>
      </c>
    </row>
    <row r="44" spans="12:13" ht="12.75">
      <c r="L44" s="37">
        <v>2</v>
      </c>
      <c r="M44" s="37">
        <v>3</v>
      </c>
    </row>
    <row r="45" ht="12.75"/>
    <row r="48" ht="12.75">
      <c r="A48" s="107" t="str">
        <f>A8</f>
        <v>Grafiek vergelijking twee varianten</v>
      </c>
    </row>
    <row r="49" spans="13:21" ht="12.75" hidden="1">
      <c r="M49" s="20" t="s">
        <v>279</v>
      </c>
      <c r="N49" s="20" t="s">
        <v>280</v>
      </c>
      <c r="O49" s="20" t="s">
        <v>281</v>
      </c>
      <c r="P49" s="20" t="s">
        <v>282</v>
      </c>
      <c r="Q49" s="20" t="s">
        <v>283</v>
      </c>
      <c r="R49" s="20" t="s">
        <v>284</v>
      </c>
      <c r="S49" s="20" t="s">
        <v>285</v>
      </c>
      <c r="T49" s="20" t="s">
        <v>286</v>
      </c>
      <c r="U49" s="20" t="s">
        <v>287</v>
      </c>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3" ht="12.75">
      <c r="A73" s="107" t="str">
        <f>A9</f>
        <v>Grafiek vergelijking twee varianten 2</v>
      </c>
    </row>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8" spans="1:12" ht="12.75">
      <c r="A98" s="59"/>
      <c r="B98" s="59"/>
      <c r="C98" s="59"/>
      <c r="D98" s="59"/>
      <c r="E98" s="59"/>
      <c r="F98" s="59"/>
      <c r="G98" s="59"/>
      <c r="H98" s="59"/>
      <c r="I98" s="59"/>
      <c r="J98" s="59"/>
      <c r="K98" s="59"/>
      <c r="L98" s="59"/>
    </row>
    <row r="99" spans="1:12" ht="12.75">
      <c r="A99" s="228">
        <v>1</v>
      </c>
      <c r="B99" s="228">
        <f>A99+1</f>
        <v>2</v>
      </c>
      <c r="C99" s="228">
        <f aca="true" t="shared" si="13" ref="C99:J99">B99+1</f>
        <v>3</v>
      </c>
      <c r="D99" s="228">
        <f t="shared" si="13"/>
        <v>4</v>
      </c>
      <c r="E99" s="228">
        <f t="shared" si="13"/>
        <v>5</v>
      </c>
      <c r="F99" s="228">
        <f t="shared" si="13"/>
        <v>6</v>
      </c>
      <c r="G99" s="228">
        <f t="shared" si="13"/>
        <v>7</v>
      </c>
      <c r="H99" s="228">
        <f t="shared" si="13"/>
        <v>8</v>
      </c>
      <c r="I99" s="228">
        <f t="shared" si="13"/>
        <v>9</v>
      </c>
      <c r="J99" s="228">
        <f t="shared" si="13"/>
        <v>10</v>
      </c>
      <c r="K99" s="59"/>
      <c r="L99" s="59"/>
    </row>
    <row r="100" spans="1:12" ht="12.75">
      <c r="A100" s="228" t="str">
        <f>INDEX($A$28:$J$38,$L$44,A$99)</f>
        <v>Nulvariant</v>
      </c>
      <c r="B100" s="228" t="e">
        <f>INDEX($A$28:$J$38,$L$44,B$99)</f>
        <v>#DIV/0!</v>
      </c>
      <c r="C100" s="228" t="e">
        <f aca="true" t="shared" si="14" ref="C100:J100">INDEX($A$28:$J$38,$L$44,C$99)</f>
        <v>#DIV/0!</v>
      </c>
      <c r="D100" s="228">
        <f t="shared" si="14"/>
        <v>0</v>
      </c>
      <c r="E100" s="228">
        <f t="shared" si="14"/>
        <v>0</v>
      </c>
      <c r="F100" s="228">
        <f t="shared" si="14"/>
        <v>0</v>
      </c>
      <c r="G100" s="228">
        <f t="shared" si="14"/>
        <v>0</v>
      </c>
      <c r="H100" s="228">
        <f t="shared" si="14"/>
        <v>0</v>
      </c>
      <c r="I100" s="228">
        <f t="shared" si="14"/>
        <v>0</v>
      </c>
      <c r="J100" s="228">
        <f t="shared" si="14"/>
        <v>0</v>
      </c>
      <c r="K100" s="59"/>
      <c r="L100" s="59"/>
    </row>
    <row r="101" spans="1:12" ht="12.75">
      <c r="A101" s="228" t="str">
        <f>INDEX($A$28:$J$38,$M$44,A$99)</f>
        <v>Variant I</v>
      </c>
      <c r="B101" s="228" t="e">
        <f>INDEX($A$28:$J$38,$M$44,B$99)</f>
        <v>#DIV/0!</v>
      </c>
      <c r="C101" s="228" t="e">
        <f aca="true" t="shared" si="15" ref="C101:J101">INDEX($A$28:$J$38,$M$44,C$99)</f>
        <v>#DIV/0!</v>
      </c>
      <c r="D101" s="228">
        <f t="shared" si="15"/>
        <v>0</v>
      </c>
      <c r="E101" s="228">
        <f t="shared" si="15"/>
        <v>0</v>
      </c>
      <c r="F101" s="228">
        <f t="shared" si="15"/>
        <v>0</v>
      </c>
      <c r="G101" s="228">
        <f t="shared" si="15"/>
        <v>0</v>
      </c>
      <c r="H101" s="228">
        <f t="shared" si="15"/>
        <v>0</v>
      </c>
      <c r="I101" s="228">
        <f t="shared" si="15"/>
        <v>0</v>
      </c>
      <c r="J101" s="228">
        <f t="shared" si="15"/>
        <v>0</v>
      </c>
      <c r="K101" s="59"/>
      <c r="L101" s="59"/>
    </row>
    <row r="102" spans="1:12" ht="12.75">
      <c r="A102" s="228" t="s">
        <v>278</v>
      </c>
      <c r="B102" s="228" t="e">
        <f aca="true" t="shared" si="16" ref="B102:J102">B101-B100</f>
        <v>#DIV/0!</v>
      </c>
      <c r="C102" s="228" t="e">
        <f t="shared" si="16"/>
        <v>#DIV/0!</v>
      </c>
      <c r="D102" s="228">
        <f t="shared" si="16"/>
        <v>0</v>
      </c>
      <c r="E102" s="228">
        <f t="shared" si="16"/>
        <v>0</v>
      </c>
      <c r="F102" s="228">
        <f t="shared" si="16"/>
        <v>0</v>
      </c>
      <c r="G102" s="228">
        <f t="shared" si="16"/>
        <v>0</v>
      </c>
      <c r="H102" s="228">
        <f t="shared" si="16"/>
        <v>0</v>
      </c>
      <c r="I102" s="228">
        <f t="shared" si="16"/>
        <v>0</v>
      </c>
      <c r="J102" s="228">
        <f t="shared" si="16"/>
        <v>0</v>
      </c>
      <c r="K102" s="59"/>
      <c r="L102" s="59"/>
    </row>
    <row r="103" spans="1:12" ht="12.75">
      <c r="A103" s="59"/>
      <c r="B103" s="59"/>
      <c r="C103" s="59"/>
      <c r="D103" s="59"/>
      <c r="E103" s="59"/>
      <c r="F103" s="59"/>
      <c r="G103" s="59"/>
      <c r="H103" s="59"/>
      <c r="I103" s="59"/>
      <c r="J103" s="59"/>
      <c r="K103" s="59"/>
      <c r="L103" s="59"/>
    </row>
    <row r="104" spans="1:12" ht="12.75">
      <c r="A104" s="59"/>
      <c r="B104" s="59"/>
      <c r="C104" s="59"/>
      <c r="D104" s="59"/>
      <c r="E104" s="59"/>
      <c r="F104" s="59"/>
      <c r="G104" s="59"/>
      <c r="H104" s="59"/>
      <c r="I104" s="59"/>
      <c r="J104" s="59"/>
      <c r="K104" s="59"/>
      <c r="L104" s="59"/>
    </row>
    <row r="105" spans="1:12" ht="12.75">
      <c r="A105" s="59"/>
      <c r="B105" s="59"/>
      <c r="C105" s="59"/>
      <c r="D105" s="59"/>
      <c r="E105" s="59"/>
      <c r="F105" s="59"/>
      <c r="G105" s="59"/>
      <c r="H105" s="59"/>
      <c r="I105" s="59"/>
      <c r="J105" s="59"/>
      <c r="K105" s="59"/>
      <c r="L105" s="59"/>
    </row>
    <row r="106" spans="1:12" ht="12.75">
      <c r="A106" s="59"/>
      <c r="B106" s="59"/>
      <c r="C106" s="59"/>
      <c r="D106" s="59"/>
      <c r="E106" s="59"/>
      <c r="F106" s="59"/>
      <c r="G106" s="59"/>
      <c r="H106" s="59"/>
      <c r="I106" s="59"/>
      <c r="J106" s="59"/>
      <c r="K106" s="59"/>
      <c r="L106" s="59"/>
    </row>
    <row r="107" spans="1:12" ht="12.75">
      <c r="A107" s="59"/>
      <c r="B107" s="59"/>
      <c r="C107" s="59"/>
      <c r="D107" s="59"/>
      <c r="E107" s="59"/>
      <c r="F107" s="59"/>
      <c r="G107" s="59"/>
      <c r="H107" s="59"/>
      <c r="I107" s="59"/>
      <c r="J107" s="59"/>
      <c r="K107" s="59"/>
      <c r="L107" s="59"/>
    </row>
    <row r="108" spans="1:12" ht="12.75">
      <c r="A108" s="59"/>
      <c r="B108" s="59"/>
      <c r="C108" s="59"/>
      <c r="D108" s="59"/>
      <c r="E108" s="59"/>
      <c r="F108" s="59"/>
      <c r="G108" s="59"/>
      <c r="H108" s="59"/>
      <c r="I108" s="59"/>
      <c r="J108" s="59"/>
      <c r="K108" s="59"/>
      <c r="L108" s="59"/>
    </row>
  </sheetData>
  <sheetProtection sheet="1" scenarios="1"/>
  <printOptions/>
  <pageMargins left="0.75" right="0.75" top="1" bottom="1" header="0.5" footer="0.5"/>
  <pageSetup horizontalDpi="300" verticalDpi="300" orientation="landscape" paperSize="9" scale="130" r:id="rId3"/>
  <headerFooter alignWithMargins="0">
    <oddHeader>&amp;C&amp;F</oddHeader>
    <oddFooter>&amp;CMilieuverdienste in RMK</oddFooter>
  </headerFooter>
  <drawing r:id="rId2"/>
  <legacyDrawing r:id="rId1"/>
</worksheet>
</file>

<file path=xl/worksheets/sheet13.xml><?xml version="1.0" encoding="utf-8"?>
<worksheet xmlns="http://schemas.openxmlformats.org/spreadsheetml/2006/main" xmlns:r="http://schemas.openxmlformats.org/officeDocument/2006/relationships">
  <sheetPr codeName="Sheet6">
    <pageSetUpPr fitToPage="1"/>
  </sheetPr>
  <dimension ref="A1:U95"/>
  <sheetViews>
    <sheetView showGridLines="0" zoomScale="90" zoomScaleNormal="90" workbookViewId="0" topLeftCell="A1">
      <selection activeCell="A2" sqref="A2"/>
    </sheetView>
  </sheetViews>
  <sheetFormatPr defaultColWidth="9.140625" defaultRowHeight="12.75"/>
  <cols>
    <col min="1" max="1" width="28.421875" style="20" customWidth="1"/>
    <col min="2" max="2" width="10.7109375" style="20" customWidth="1"/>
    <col min="3" max="5" width="8.140625" style="20" customWidth="1"/>
    <col min="6" max="9" width="7.8515625" style="20" customWidth="1"/>
    <col min="10" max="10" width="9.28125" style="20" customWidth="1"/>
    <col min="11" max="11" width="10.28125" style="20" customWidth="1"/>
    <col min="12" max="12" width="7.28125" style="20" customWidth="1"/>
    <col min="13" max="13" width="7.140625" style="20" customWidth="1"/>
    <col min="14" max="18" width="6.140625" style="20" customWidth="1"/>
    <col min="19" max="19" width="6.28125" style="20" customWidth="1"/>
    <col min="20" max="16384" width="8.8515625" style="20" customWidth="1"/>
  </cols>
  <sheetData>
    <row r="1" ht="20.25">
      <c r="A1" s="41" t="s">
        <v>90</v>
      </c>
    </row>
    <row r="2" ht="12.75"/>
    <row r="3" ht="12.75">
      <c r="A3" s="103" t="str">
        <f>Huidig!A3</f>
        <v>Terug naar inhoud:</v>
      </c>
    </row>
    <row r="4" ht="12.75">
      <c r="A4" s="45" t="s">
        <v>91</v>
      </c>
    </row>
    <row r="5" ht="12.75">
      <c r="A5" s="20" t="s">
        <v>92</v>
      </c>
    </row>
    <row r="6" ht="12.75">
      <c r="A6" s="20" t="s">
        <v>93</v>
      </c>
    </row>
    <row r="7" ht="12.75">
      <c r="A7" s="20" t="s">
        <v>94</v>
      </c>
    </row>
    <row r="8" ht="12.75">
      <c r="A8" s="20" t="s">
        <v>95</v>
      </c>
    </row>
    <row r="9" ht="12.75">
      <c r="A9" s="20" t="s">
        <v>96</v>
      </c>
    </row>
    <row r="10" ht="12.75"/>
    <row r="11" ht="12.75"/>
    <row r="12" ht="12.75"/>
    <row r="13" ht="12.75"/>
    <row r="14" spans="1:6" s="19" customFormat="1" ht="25.5">
      <c r="A14" s="137" t="s">
        <v>97</v>
      </c>
      <c r="B14" s="132" t="s">
        <v>324</v>
      </c>
      <c r="C14" s="138" t="s">
        <v>98</v>
      </c>
      <c r="D14" s="139"/>
      <c r="E14" s="141" t="s">
        <v>99</v>
      </c>
      <c r="F14" s="20"/>
    </row>
    <row r="15" spans="1:9" ht="12.75">
      <c r="A15" s="135" t="str">
        <f aca="true" t="shared" si="0" ref="A15:A23">A27</f>
        <v>M1 grondkwaliteit</v>
      </c>
      <c r="B15" s="140">
        <v>50</v>
      </c>
      <c r="C15" s="68" t="s">
        <v>360</v>
      </c>
      <c r="D15"/>
      <c r="E15" s="142">
        <v>0.10999469786603788</v>
      </c>
      <c r="G15" s="81"/>
      <c r="H15" s="81"/>
      <c r="I15" s="81"/>
    </row>
    <row r="16" spans="1:9" ht="12.75">
      <c r="A16" s="135" t="str">
        <f t="shared" si="0"/>
        <v>M2 grondwaterkwaliteit</v>
      </c>
      <c r="B16" s="140">
        <v>800</v>
      </c>
      <c r="C16" s="68" t="s">
        <v>360</v>
      </c>
      <c r="D16"/>
      <c r="E16" s="142">
        <v>0.2702711717081363</v>
      </c>
      <c r="G16" s="81"/>
      <c r="H16" s="81"/>
      <c r="I16" s="81"/>
    </row>
    <row r="17" spans="1:9" ht="14.25">
      <c r="A17" s="135" t="str">
        <f t="shared" si="0"/>
        <v>M3 verlies grond</v>
      </c>
      <c r="B17" s="140">
        <v>-460</v>
      </c>
      <c r="C17" s="68" t="s">
        <v>87</v>
      </c>
      <c r="D17"/>
      <c r="E17" s="142">
        <v>0.09076010577215286</v>
      </c>
      <c r="G17" s="81"/>
      <c r="H17" s="81"/>
      <c r="I17" s="81"/>
    </row>
    <row r="18" spans="1:9" ht="14.25">
      <c r="A18" s="135" t="str">
        <f t="shared" si="0"/>
        <v>M4 verlies grondwater</v>
      </c>
      <c r="B18" s="140">
        <v>-1600</v>
      </c>
      <c r="C18" s="68" t="s">
        <v>88</v>
      </c>
      <c r="D18"/>
      <c r="E18" s="142">
        <v>0.186089497458445</v>
      </c>
      <c r="G18" s="81"/>
      <c r="H18" s="81"/>
      <c r="I18" s="81"/>
    </row>
    <row r="19" spans="1:9" ht="12.75">
      <c r="A19" s="135" t="str">
        <f t="shared" si="0"/>
        <v>M5 energiegebruik</v>
      </c>
      <c r="B19" s="140">
        <f>-4100/200</f>
        <v>-20.5</v>
      </c>
      <c r="C19" s="68" t="s">
        <v>74</v>
      </c>
      <c r="D19"/>
      <c r="E19" s="142">
        <v>0.06348115726372497</v>
      </c>
      <c r="G19" s="81"/>
      <c r="H19" s="81"/>
      <c r="I19" s="81"/>
    </row>
    <row r="20" spans="1:9" ht="12.75">
      <c r="A20" s="135" t="str">
        <f t="shared" si="0"/>
        <v>M6 luchtemissies</v>
      </c>
      <c r="B20" s="140">
        <v>-60</v>
      </c>
      <c r="C20" s="68" t="s">
        <v>74</v>
      </c>
      <c r="D20"/>
      <c r="E20" s="142">
        <v>0.05018815670288029</v>
      </c>
      <c r="G20" s="81"/>
      <c r="H20" s="81"/>
      <c r="I20" s="81"/>
    </row>
    <row r="21" spans="1:21" ht="12.75">
      <c r="A21" s="135" t="str">
        <f t="shared" si="0"/>
        <v>M7 opp. wateremissies</v>
      </c>
      <c r="B21" s="140">
        <v>-700</v>
      </c>
      <c r="C21" s="68" t="s">
        <v>360</v>
      </c>
      <c r="D21"/>
      <c r="E21" s="142">
        <v>0.11372376020965569</v>
      </c>
      <c r="G21" s="81"/>
      <c r="H21" s="81"/>
      <c r="I21" s="81"/>
      <c r="U21" s="79"/>
    </row>
    <row r="22" spans="1:9" ht="14.25">
      <c r="A22" s="135" t="str">
        <f t="shared" si="0"/>
        <v>M8 afvalvorming</v>
      </c>
      <c r="B22" s="140">
        <v>-300</v>
      </c>
      <c r="C22" s="68" t="s">
        <v>87</v>
      </c>
      <c r="D22"/>
      <c r="E22" s="142">
        <v>0.07426261527314204</v>
      </c>
      <c r="G22" s="81"/>
      <c r="H22" s="81"/>
      <c r="I22" s="81"/>
    </row>
    <row r="23" spans="1:9" ht="14.25">
      <c r="A23" s="135" t="str">
        <f t="shared" si="0"/>
        <v>M9 ruimtebeslag</v>
      </c>
      <c r="B23" s="140">
        <v>-3000</v>
      </c>
      <c r="C23" s="68" t="s">
        <v>89</v>
      </c>
      <c r="D23"/>
      <c r="E23" s="142">
        <v>0.041405873446117646</v>
      </c>
      <c r="G23" s="81"/>
      <c r="H23" s="81"/>
      <c r="I23" s="81"/>
    </row>
    <row r="24" spans="4:5" ht="12.75">
      <c r="D24" s="101"/>
      <c r="E24" s="81"/>
    </row>
    <row r="25" ht="12.75"/>
    <row r="26" spans="1:19" s="19" customFormat="1" ht="29.25" customHeight="1">
      <c r="A26" s="137" t="str">
        <f>A6</f>
        <v>Tabel prestaties</v>
      </c>
      <c r="B26" s="132" t="str">
        <f>0!$A$1</f>
        <v>Nulvariant</v>
      </c>
      <c r="C26" s="132" t="str">
        <f>I!$A$1</f>
        <v>Variant I</v>
      </c>
      <c r="D26" s="132" t="str">
        <f>'II'!$A$1</f>
        <v>Variant II</v>
      </c>
      <c r="E26" s="132" t="str">
        <f>III!$A$1</f>
        <v>Variant III</v>
      </c>
      <c r="F26" s="132" t="str">
        <f>'IV'!$A$1</f>
        <v>Variant IV</v>
      </c>
      <c r="G26" s="132" t="str">
        <f>V!$A$1</f>
        <v>Variant V</v>
      </c>
      <c r="H26" s="132" t="str">
        <f>VI!$A$1</f>
        <v>Variant VI</v>
      </c>
      <c r="I26" s="132" t="str">
        <f>VII!$A$1</f>
        <v>Variant VII</v>
      </c>
      <c r="J26" s="222" t="str">
        <f>Ref!$A$1</f>
        <v>MF-referentie</v>
      </c>
      <c r="K26" s="223" t="s">
        <v>314</v>
      </c>
      <c r="L26" s="79"/>
      <c r="M26" s="79"/>
      <c r="N26" s="79"/>
      <c r="O26" s="79"/>
      <c r="P26" s="79"/>
      <c r="Q26" s="79"/>
      <c r="R26" s="79"/>
      <c r="S26" s="79"/>
    </row>
    <row r="27" spans="1:19" ht="12.75">
      <c r="A27" s="135" t="str">
        <f>I!A142</f>
        <v>M1 grondkwaliteit</v>
      </c>
      <c r="B27" s="69">
        <f>IF(OR(SUM(0!$C$144:0!$C$150)&lt;&gt;0,SUM(0!$C$142:0!$C$143)&lt;&gt;SUM(Huidig!$I$54,Huidig!$I$36)),0!$C142,0)</f>
        <v>0</v>
      </c>
      <c r="C27" s="69">
        <f>IF(OR(SUM(I!$C$144:I!$C$150)&lt;&gt;0,SUM(I!$C$142:I!$C$143)&lt;&gt;SUM(Huidig!$I$54,Huidig!$I$36)),I!$C142,0)</f>
        <v>0</v>
      </c>
      <c r="D27" s="69">
        <f>IF(OR(SUM('II'!$C$144:'II'!$C$150)&lt;&gt;0,SUM('II'!$C$142:'II'!$C$143)&lt;&gt;SUM(Huidig!$I$54,Huidig!$I$36)),'II'!$C142,0)</f>
        <v>0</v>
      </c>
      <c r="E27" s="69">
        <f>IF(OR(SUM(III!$C$144:III!$C$150)&lt;&gt;0,SUM(III!$C$142:III!$C$143)&lt;&gt;SUM(Huidig!$I$54,Huidig!$I$36)),III!$C142,0)</f>
        <v>0</v>
      </c>
      <c r="F27" s="69">
        <f>IF(OR(SUM('IV'!$C$144:'IV'!$C$150)&lt;&gt;0,SUM('IV'!$C$142:'IV'!$C$143)&lt;&gt;SUM(Huidig!$I$54,Huidig!$I$36)),'IV'!$C142,0)</f>
        <v>0</v>
      </c>
      <c r="G27" s="69">
        <f>IF(OR(SUM(V!$C$144:V!$C$150)&lt;&gt;0,SUM(V!$C$142:V!$C$143)&lt;&gt;SUM(Huidig!$I$54,Huidig!$I$36)),V!$C142,0)</f>
        <v>0</v>
      </c>
      <c r="H27" s="69">
        <f>IF(OR(SUM(VI!$C$144:VI!$C$150)&lt;&gt;0,SUM(VI!$C$142:VI!$C$143)&lt;&gt;SUM(Huidig!$I$54,Huidig!$I$36)),VI!$C142,0)</f>
        <v>0</v>
      </c>
      <c r="I27" s="69">
        <f>IF(OR(SUM(VII!$C$144:VII!$C$150)&lt;&gt;0,SUM(VII!$C$142:VII!$C$143)&lt;&gt;SUM(Huidig!$I$54,Huidig!$I$36)),VII!$C142,0)</f>
        <v>0</v>
      </c>
      <c r="J27" s="224">
        <f>IF(OR(SUM(Ref!$C$144:Ref!$C$150)&lt;&gt;0,SUM(Ref!$C$142:Ref!$C$143)&lt;&gt;SUM(Huidig!$I$54,Huidig!$I$36)),Ref!$C142,0)</f>
        <v>0</v>
      </c>
      <c r="K27" s="225">
        <f>Huidig!I36/1000</f>
        <v>0</v>
      </c>
      <c r="L27" s="79"/>
      <c r="M27" s="79"/>
      <c r="N27" s="79"/>
      <c r="O27" s="79"/>
      <c r="P27" s="79"/>
      <c r="Q27" s="79"/>
      <c r="R27" s="79"/>
      <c r="S27" s="79"/>
    </row>
    <row r="28" spans="1:19" ht="12.75">
      <c r="A28" s="135" t="str">
        <f>I!A143</f>
        <v>M2 grondwaterkwaliteit</v>
      </c>
      <c r="B28" s="69">
        <f>IF(OR(SUM(0!$C$144:0!$C$150)&lt;&gt;0,SUM(0!$C$142:0!$C$143)&lt;&gt;SUM(Huidig!$I$54,Huidig!$I$36)),0!$C143,0)</f>
        <v>0</v>
      </c>
      <c r="C28" s="69">
        <f>IF(OR(SUM(I!$C$144:I!$C$150)&lt;&gt;0,SUM(I!$C$142:I!$C$143)&lt;&gt;SUM(Huidig!$I$54,Huidig!$I$36)),I!$C143,0)</f>
        <v>0</v>
      </c>
      <c r="D28" s="69">
        <f>IF(OR(SUM('II'!$C$144:'II'!$C$150)&lt;&gt;0,SUM('II'!$C$142:'II'!$C$143)&lt;&gt;SUM(Huidig!$I$54,Huidig!$I$36)),'II'!$C143,0)</f>
        <v>0</v>
      </c>
      <c r="E28" s="69">
        <f>IF(OR(SUM(III!$C$144:III!$C$150)&lt;&gt;0,SUM(III!$C$142:III!$C$143)&lt;&gt;SUM(Huidig!$I$54,Huidig!$I$36)),III!$C143,0)</f>
        <v>0</v>
      </c>
      <c r="F28" s="69">
        <f>IF(OR(SUM('IV'!$C$144:'IV'!$C$150)&lt;&gt;0,SUM('IV'!$C$142:'IV'!$C$143)&lt;&gt;SUM(Huidig!$I$54,Huidig!$I$36)),'IV'!$C143,0)</f>
        <v>0</v>
      </c>
      <c r="G28" s="69">
        <f>IF(OR(SUM(V!$C$144:V!$C$150)&lt;&gt;0,SUM(V!$C$142:V!$C$143)&lt;&gt;SUM(Huidig!$I$54,Huidig!$I$36)),V!$C143,0)</f>
        <v>0</v>
      </c>
      <c r="H28" s="69">
        <f>IF(OR(SUM(VI!$C$144:VI!$C$150)&lt;&gt;0,SUM(VI!$C$142:VI!$C$143)&lt;&gt;SUM(Huidig!$I$54,Huidig!$I$36)),VI!$C143,0)</f>
        <v>0</v>
      </c>
      <c r="I28" s="69">
        <f>IF(OR(SUM(VII!$C$144:VII!$C$150)&lt;&gt;0,SUM(VII!$C$142:VII!$C$143)&lt;&gt;SUM(Huidig!$I$54,Huidig!$I$36)),VII!$C143,0)</f>
        <v>0</v>
      </c>
      <c r="J28" s="224">
        <f>IF(OR(SUM(Ref!$C$144:Ref!$C$150)&lt;&gt;0,SUM(Ref!$C$142:Ref!$C$143)&lt;&gt;SUM(Huidig!$I$54,Huidig!$I$36)),Ref!$C143,0)</f>
        <v>0</v>
      </c>
      <c r="K28" s="225">
        <f>Huidig!I54/1000</f>
        <v>0</v>
      </c>
      <c r="L28" s="79"/>
      <c r="M28" s="79"/>
      <c r="N28" s="79"/>
      <c r="O28" s="79"/>
      <c r="P28" s="79"/>
      <c r="Q28" s="79"/>
      <c r="R28" s="79"/>
      <c r="S28" s="79"/>
    </row>
    <row r="29" spans="1:19" ht="12.75">
      <c r="A29" s="135" t="str">
        <f>I!A144</f>
        <v>M3 verlies grond</v>
      </c>
      <c r="B29" s="69">
        <f>IF(OR(SUM(0!$C$144:0!$C$150)&lt;&gt;0,SUM(0!$C$142:0!$C$143)&lt;&gt;SUM(Huidig!$I$54,Huidig!$I$36)),0!$C144,0)</f>
        <v>0</v>
      </c>
      <c r="C29" s="69">
        <f>IF(OR(SUM(I!$C$144:I!$C$150)&lt;&gt;0,SUM(I!$C$142:I!$C$143)&lt;&gt;SUM(Huidig!$I$54,Huidig!$I$36)),I!$C144,0)</f>
        <v>0</v>
      </c>
      <c r="D29" s="69">
        <f>IF(OR(SUM('II'!$C$144:'II'!$C$150)&lt;&gt;0,SUM('II'!$C$142:'II'!$C$143)&lt;&gt;SUM(Huidig!$I$54,Huidig!$I$36)),'II'!$C144,0)</f>
        <v>0</v>
      </c>
      <c r="E29" s="69">
        <f>IF(OR(SUM(III!$C$144:III!$C$150)&lt;&gt;0,SUM(III!$C$142:III!$C$143)&lt;&gt;SUM(Huidig!$I$54,Huidig!$I$36)),III!$C144,0)</f>
        <v>0</v>
      </c>
      <c r="F29" s="69">
        <f>IF(OR(SUM('IV'!$C$144:'IV'!$C$150)&lt;&gt;0,SUM('IV'!$C$142:'IV'!$C$143)&lt;&gt;SUM(Huidig!$I$54,Huidig!$I$36)),'IV'!$C144,0)</f>
        <v>0</v>
      </c>
      <c r="G29" s="69">
        <f>IF(OR(SUM(V!$C$144:V!$C$150)&lt;&gt;0,SUM(V!$C$142:V!$C$143)&lt;&gt;SUM(Huidig!$I$54,Huidig!$I$36)),V!$C144,0)</f>
        <v>0</v>
      </c>
      <c r="H29" s="69">
        <f>IF(OR(SUM(VI!$C$144:VI!$C$150)&lt;&gt;0,SUM(VI!$C$142:VI!$C$143)&lt;&gt;SUM(Huidig!$I$54,Huidig!$I$36)),VI!$C144,0)</f>
        <v>0</v>
      </c>
      <c r="I29" s="69">
        <f>IF(OR(SUM(VII!$C$144:VII!$C$150)&lt;&gt;0,SUM(VII!$C$142:VII!$C$143)&lt;&gt;SUM(Huidig!$I$54,Huidig!$I$36)),VII!$C144,0)</f>
        <v>0</v>
      </c>
      <c r="J29" s="224">
        <f>IF(OR(SUM(Ref!$C$144:Ref!$C$150)&lt;&gt;0,SUM(Ref!$C$142:Ref!$C$143)&lt;&gt;SUM(Huidig!$I$54,Huidig!$I$36)),Ref!$C144,0)</f>
        <v>0</v>
      </c>
      <c r="K29" s="225"/>
      <c r="L29" s="79"/>
      <c r="M29" s="79"/>
      <c r="N29" s="79"/>
      <c r="O29" s="79"/>
      <c r="P29" s="79"/>
      <c r="Q29" s="79"/>
      <c r="R29" s="79"/>
      <c r="S29" s="79"/>
    </row>
    <row r="30" spans="1:19" ht="12.75">
      <c r="A30" s="135" t="str">
        <f>I!A145</f>
        <v>M4 verlies grondwater</v>
      </c>
      <c r="B30" s="69">
        <f>IF(OR(SUM(0!$C$144:0!$C$150)&lt;&gt;0,SUM(0!$C$142:0!$C$143)&lt;&gt;SUM(Huidig!$I$54,Huidig!$I$36)),0!$C145,0)</f>
        <v>0</v>
      </c>
      <c r="C30" s="69">
        <f>IF(OR(SUM(I!$C$144:I!$C$150)&lt;&gt;0,SUM(I!$C$142:I!$C$143)&lt;&gt;SUM(Huidig!$I$54,Huidig!$I$36)),I!$C145,0)</f>
        <v>0</v>
      </c>
      <c r="D30" s="69">
        <f>IF(OR(SUM('II'!$C$144:'II'!$C$150)&lt;&gt;0,SUM('II'!$C$142:'II'!$C$143)&lt;&gt;SUM(Huidig!$I$54,Huidig!$I$36)),'II'!$C145,0)</f>
        <v>0</v>
      </c>
      <c r="E30" s="69">
        <f>IF(OR(SUM(III!$C$144:III!$C$150)&lt;&gt;0,SUM(III!$C$142:III!$C$143)&lt;&gt;SUM(Huidig!$I$54,Huidig!$I$36)),III!$C145,0)</f>
        <v>0</v>
      </c>
      <c r="F30" s="69">
        <f>IF(OR(SUM('IV'!$C$144:'IV'!$C$150)&lt;&gt;0,SUM('IV'!$C$142:'IV'!$C$143)&lt;&gt;SUM(Huidig!$I$54,Huidig!$I$36)),'IV'!$C145,0)</f>
        <v>0</v>
      </c>
      <c r="G30" s="69">
        <f>IF(OR(SUM(V!$C$144:V!$C$150)&lt;&gt;0,SUM(V!$C$142:V!$C$143)&lt;&gt;SUM(Huidig!$I$54,Huidig!$I$36)),V!$C145,0)</f>
        <v>0</v>
      </c>
      <c r="H30" s="69">
        <f>IF(OR(SUM(VI!$C$144:VI!$C$150)&lt;&gt;0,SUM(VI!$C$142:VI!$C$143)&lt;&gt;SUM(Huidig!$I$54,Huidig!$I$36)),VI!$C145,0)</f>
        <v>0</v>
      </c>
      <c r="I30" s="69">
        <f>IF(OR(SUM(VII!$C$144:VII!$C$150)&lt;&gt;0,SUM(VII!$C$142:VII!$C$143)&lt;&gt;SUM(Huidig!$I$54,Huidig!$I$36)),VII!$C145,0)</f>
        <v>0</v>
      </c>
      <c r="J30" s="224">
        <f>IF(OR(SUM(Ref!$C$144:Ref!$C$150)&lt;&gt;0,SUM(Ref!$C$142:Ref!$C$143)&lt;&gt;SUM(Huidig!$I$54,Huidig!$I$36)),Ref!$C145,0)</f>
        <v>0</v>
      </c>
      <c r="K30" s="225"/>
      <c r="L30" s="79"/>
      <c r="M30" s="79"/>
      <c r="N30" s="79"/>
      <c r="O30" s="79"/>
      <c r="P30" s="79"/>
      <c r="Q30" s="79"/>
      <c r="R30" s="79"/>
      <c r="S30" s="79"/>
    </row>
    <row r="31" spans="1:19" ht="12.75">
      <c r="A31" s="135" t="str">
        <f>I!A146</f>
        <v>M5 energiegebruik</v>
      </c>
      <c r="B31" s="69">
        <f>IF(OR(SUM(0!$C$144:0!$C$150)&lt;&gt;0,SUM(0!$C$142:0!$C$143)&lt;&gt;SUM(Huidig!$I$54,Huidig!$I$36)),0!$C146,0)</f>
        <v>0</v>
      </c>
      <c r="C31" s="69">
        <f>IF(OR(SUM(I!$C$144:I!$C$150)&lt;&gt;0,SUM(I!$C$142:I!$C$143)&lt;&gt;SUM(Huidig!$I$54,Huidig!$I$36)),I!$C146,0)</f>
        <v>0</v>
      </c>
      <c r="D31" s="69">
        <f>IF(OR(SUM('II'!$C$144:'II'!$C$150)&lt;&gt;0,SUM('II'!$C$142:'II'!$C$143)&lt;&gt;SUM(Huidig!$I$54,Huidig!$I$36)),'II'!$C146,0)</f>
        <v>0</v>
      </c>
      <c r="E31" s="69">
        <f>IF(OR(SUM(III!$C$144:III!$C$150)&lt;&gt;0,SUM(III!$C$142:III!$C$143)&lt;&gt;SUM(Huidig!$I$54,Huidig!$I$36)),III!$C146,0)</f>
        <v>0</v>
      </c>
      <c r="F31" s="69">
        <f>IF(OR(SUM('IV'!$C$144:'IV'!$C$150)&lt;&gt;0,SUM('IV'!$C$142:'IV'!$C$143)&lt;&gt;SUM(Huidig!$I$54,Huidig!$I$36)),'IV'!$C146,0)</f>
        <v>0</v>
      </c>
      <c r="G31" s="69">
        <f>IF(OR(SUM(V!$C$144:V!$C$150)&lt;&gt;0,SUM(V!$C$142:V!$C$143)&lt;&gt;SUM(Huidig!$I$54,Huidig!$I$36)),V!$C146,0)</f>
        <v>0</v>
      </c>
      <c r="H31" s="69">
        <f>IF(OR(SUM(VI!$C$144:VI!$C$150)&lt;&gt;0,SUM(VI!$C$142:VI!$C$143)&lt;&gt;SUM(Huidig!$I$54,Huidig!$I$36)),VI!$C146,0)</f>
        <v>0</v>
      </c>
      <c r="I31" s="69">
        <f>IF(OR(SUM(VII!$C$144:VII!$C$150)&lt;&gt;0,SUM(VII!$C$142:VII!$C$143)&lt;&gt;SUM(Huidig!$I$54,Huidig!$I$36)),VII!$C146,0)</f>
        <v>0</v>
      </c>
      <c r="J31" s="224">
        <f>IF(OR(SUM(Ref!$C$144:Ref!$C$150)&lt;&gt;0,SUM(Ref!$C$142:Ref!$C$143)&lt;&gt;SUM(Huidig!$I$54,Huidig!$I$36)),Ref!$C146,0)</f>
        <v>0</v>
      </c>
      <c r="K31" s="225"/>
      <c r="M31" s="79"/>
      <c r="N31" s="79"/>
      <c r="O31" s="79"/>
      <c r="P31" s="79"/>
      <c r="Q31" s="79"/>
      <c r="R31" s="79"/>
      <c r="S31" s="79"/>
    </row>
    <row r="32" spans="1:19" ht="12.75">
      <c r="A32" s="135" t="str">
        <f>I!A147</f>
        <v>M6 luchtemissies</v>
      </c>
      <c r="B32" s="69">
        <f>IF(OR(SUM(0!$C$144:0!$C$150)&lt;&gt;0,SUM(0!$C$142:0!$C$143)&lt;&gt;SUM(Huidig!$I$54,Huidig!$I$36)),0!$C147,0)</f>
        <v>0</v>
      </c>
      <c r="C32" s="69">
        <f>IF(OR(SUM(I!$C$144:I!$C$150)&lt;&gt;0,SUM(I!$C$142:I!$C$143)&lt;&gt;SUM(Huidig!$I$54,Huidig!$I$36)),I!$C147,0)</f>
        <v>0</v>
      </c>
      <c r="D32" s="69">
        <f>IF(OR(SUM('II'!$C$144:'II'!$C$150)&lt;&gt;0,SUM('II'!$C$142:'II'!$C$143)&lt;&gt;SUM(Huidig!$I$54,Huidig!$I$36)),'II'!$C147,0)</f>
        <v>0</v>
      </c>
      <c r="E32" s="69">
        <f>IF(OR(SUM(III!$C$144:III!$C$150)&lt;&gt;0,SUM(III!$C$142:III!$C$143)&lt;&gt;SUM(Huidig!$I$54,Huidig!$I$36)),III!$C147,0)</f>
        <v>0</v>
      </c>
      <c r="F32" s="69">
        <f>IF(OR(SUM('IV'!$C$144:'IV'!$C$150)&lt;&gt;0,SUM('IV'!$C$142:'IV'!$C$143)&lt;&gt;SUM(Huidig!$I$54,Huidig!$I$36)),'IV'!$C147,0)</f>
        <v>0</v>
      </c>
      <c r="G32" s="69">
        <f>IF(OR(SUM(V!$C$144:V!$C$150)&lt;&gt;0,SUM(V!$C$142:V!$C$143)&lt;&gt;SUM(Huidig!$I$54,Huidig!$I$36)),V!$C147,0)</f>
        <v>0</v>
      </c>
      <c r="H32" s="69">
        <f>IF(OR(SUM(VI!$C$144:VI!$C$150)&lt;&gt;0,SUM(VI!$C$142:VI!$C$143)&lt;&gt;SUM(Huidig!$I$54,Huidig!$I$36)),VI!$C147,0)</f>
        <v>0</v>
      </c>
      <c r="I32" s="69">
        <f>IF(OR(SUM(VII!$C$144:VII!$C$150)&lt;&gt;0,SUM(VII!$C$142:VII!$C$143)&lt;&gt;SUM(Huidig!$I$54,Huidig!$I$36)),VII!$C147,0)</f>
        <v>0</v>
      </c>
      <c r="J32" s="224">
        <f>IF(OR(SUM(Ref!$C$144:Ref!$C$150)&lt;&gt;0,SUM(Ref!$C$142:Ref!$C$143)&lt;&gt;SUM(Huidig!$I$54,Huidig!$I$36)),Ref!$C147,0)</f>
        <v>0</v>
      </c>
      <c r="K32" s="225"/>
      <c r="L32" s="79"/>
      <c r="M32" s="79"/>
      <c r="N32" s="79"/>
      <c r="O32" s="79"/>
      <c r="P32" s="79"/>
      <c r="Q32" s="79"/>
      <c r="R32" s="79"/>
      <c r="S32" s="79"/>
    </row>
    <row r="33" spans="1:19" ht="12.75">
      <c r="A33" s="135" t="str">
        <f>I!A148</f>
        <v>M7 opp. wateremissies</v>
      </c>
      <c r="B33" s="69">
        <f>IF(OR(SUM(0!$C$144:0!$C$150)&lt;&gt;0,SUM(0!$C$142:0!$C$143)&lt;&gt;SUM(Huidig!$I$54,Huidig!$I$36)),0!$C148,0)</f>
        <v>0</v>
      </c>
      <c r="C33" s="69">
        <f>IF(OR(SUM(I!$C$144:I!$C$150)&lt;&gt;0,SUM(I!$C$142:I!$C$143)&lt;&gt;SUM(Huidig!$I$54,Huidig!$I$36)),I!$C148,0)</f>
        <v>0</v>
      </c>
      <c r="D33" s="69">
        <f>IF(OR(SUM('II'!$C$144:'II'!$C$150)&lt;&gt;0,SUM('II'!$C$142:'II'!$C$143)&lt;&gt;SUM(Huidig!$I$54,Huidig!$I$36)),'II'!$C148,0)</f>
        <v>0</v>
      </c>
      <c r="E33" s="69">
        <f>IF(OR(SUM(III!$C$144:III!$C$150)&lt;&gt;0,SUM(III!$C$142:III!$C$143)&lt;&gt;SUM(Huidig!$I$54,Huidig!$I$36)),III!$C148,0)</f>
        <v>0</v>
      </c>
      <c r="F33" s="69">
        <f>IF(OR(SUM('IV'!$C$144:'IV'!$C$150)&lt;&gt;0,SUM('IV'!$C$142:'IV'!$C$143)&lt;&gt;SUM(Huidig!$I$54,Huidig!$I$36)),'IV'!$C148,0)</f>
        <v>0</v>
      </c>
      <c r="G33" s="69">
        <f>IF(OR(SUM(V!$C$144:V!$C$150)&lt;&gt;0,SUM(V!$C$142:V!$C$143)&lt;&gt;SUM(Huidig!$I$54,Huidig!$I$36)),V!$C148,0)</f>
        <v>0</v>
      </c>
      <c r="H33" s="69">
        <f>IF(OR(SUM(VI!$C$144:VI!$C$150)&lt;&gt;0,SUM(VI!$C$142:VI!$C$143)&lt;&gt;SUM(Huidig!$I$54,Huidig!$I$36)),VI!$C148,0)</f>
        <v>0</v>
      </c>
      <c r="I33" s="69">
        <f>IF(OR(SUM(VII!$C$144:VII!$C$150)&lt;&gt;0,SUM(VII!$C$142:VII!$C$143)&lt;&gt;SUM(Huidig!$I$54,Huidig!$I$36)),VII!$C148,0)</f>
        <v>0</v>
      </c>
      <c r="J33" s="224">
        <f>IF(OR(SUM(Ref!$C$144:Ref!$C$150)&lt;&gt;0,SUM(Ref!$C$142:Ref!$C$143)&lt;&gt;SUM(Huidig!$I$54,Huidig!$I$36)),Ref!$C148,0)</f>
        <v>0</v>
      </c>
      <c r="K33" s="225"/>
      <c r="L33" s="79"/>
      <c r="M33" s="79"/>
      <c r="N33" s="79"/>
      <c r="O33" s="79"/>
      <c r="P33" s="79"/>
      <c r="Q33" s="79"/>
      <c r="R33" s="79"/>
      <c r="S33" s="79"/>
    </row>
    <row r="34" spans="1:19" ht="12.75">
      <c r="A34" s="135" t="str">
        <f>I!A149</f>
        <v>M8 afvalvorming</v>
      </c>
      <c r="B34" s="69">
        <f>IF(OR(SUM(0!$C$144:0!$C$150)&lt;&gt;0,SUM(0!$C$142:0!$C$143)&lt;&gt;SUM(Huidig!$I$54,Huidig!$I$36)),0!$C149,0)</f>
        <v>0</v>
      </c>
      <c r="C34" s="69">
        <f>IF(OR(SUM(I!$C$144:I!$C$150)&lt;&gt;0,SUM(I!$C$142:I!$C$143)&lt;&gt;SUM(Huidig!$I$54,Huidig!$I$36)),I!$C149,0)</f>
        <v>0</v>
      </c>
      <c r="D34" s="69">
        <f>IF(OR(SUM('II'!$C$144:'II'!$C$150)&lt;&gt;0,SUM('II'!$C$142:'II'!$C$143)&lt;&gt;SUM(Huidig!$I$54,Huidig!$I$36)),'II'!$C149,0)</f>
        <v>0</v>
      </c>
      <c r="E34" s="69">
        <f>IF(OR(SUM(III!$C$144:III!$C$150)&lt;&gt;0,SUM(III!$C$142:III!$C$143)&lt;&gt;SUM(Huidig!$I$54,Huidig!$I$36)),III!$C149,0)</f>
        <v>0</v>
      </c>
      <c r="F34" s="69">
        <f>IF(OR(SUM('IV'!$C$144:'IV'!$C$150)&lt;&gt;0,SUM('IV'!$C$142:'IV'!$C$143)&lt;&gt;SUM(Huidig!$I$54,Huidig!$I$36)),'IV'!$C149,0)</f>
        <v>0</v>
      </c>
      <c r="G34" s="69">
        <f>IF(OR(SUM(V!$C$144:V!$C$150)&lt;&gt;0,SUM(V!$C$142:V!$C$143)&lt;&gt;SUM(Huidig!$I$54,Huidig!$I$36)),V!$C149,0)</f>
        <v>0</v>
      </c>
      <c r="H34" s="69">
        <f>IF(OR(SUM(VI!$C$144:VI!$C$150)&lt;&gt;0,SUM(VI!$C$142:VI!$C$143)&lt;&gt;SUM(Huidig!$I$54,Huidig!$I$36)),VI!$C149,0)</f>
        <v>0</v>
      </c>
      <c r="I34" s="69">
        <f>IF(OR(SUM(VII!$C$144:VII!$C$150)&lt;&gt;0,SUM(VII!$C$142:VII!$C$143)&lt;&gt;SUM(Huidig!$I$54,Huidig!$I$36)),VII!$C149,0)</f>
        <v>0</v>
      </c>
      <c r="J34" s="224">
        <f>IF(OR(SUM(Ref!$C$144:Ref!$C$150)&lt;&gt;0,SUM(Ref!$C$142:Ref!$C$143)&lt;&gt;SUM(Huidig!$I$54,Huidig!$I$36)),Ref!$C149,0)</f>
        <v>0</v>
      </c>
      <c r="K34" s="225"/>
      <c r="L34" s="79"/>
      <c r="M34" s="79"/>
      <c r="N34" s="79"/>
      <c r="O34" s="79"/>
      <c r="P34" s="79"/>
      <c r="Q34" s="79"/>
      <c r="R34" s="79"/>
      <c r="S34" s="79"/>
    </row>
    <row r="35" spans="1:19" ht="12.75">
      <c r="A35" s="135" t="str">
        <f>I!A150</f>
        <v>M9 ruimtebeslag</v>
      </c>
      <c r="B35" s="69">
        <f>IF(OR(SUM(0!$C$144:0!$C$150)&lt;&gt;0,SUM(0!$C$142:0!$C$143)&lt;&gt;SUM(Huidig!$I$54,Huidig!$I$36)),0!$C150,0)</f>
        <v>0</v>
      </c>
      <c r="C35" s="69">
        <f>IF(OR(SUM(I!$C$144:I!$C$150)&lt;&gt;0,SUM(I!$C$142:I!$C$143)&lt;&gt;SUM(Huidig!$I$54,Huidig!$I$36)),I!$C150,0)</f>
        <v>0</v>
      </c>
      <c r="D35" s="69">
        <f>IF(OR(SUM('II'!$C$144:'II'!$C$150)&lt;&gt;0,SUM('II'!$C$142:'II'!$C$143)&lt;&gt;SUM(Huidig!$I$54,Huidig!$I$36)),'II'!$C150,0)</f>
        <v>0</v>
      </c>
      <c r="E35" s="69">
        <f>IF(OR(SUM(III!$C$144:III!$C$150)&lt;&gt;0,SUM(III!$C$142:III!$C$143)&lt;&gt;SUM(Huidig!$I$54,Huidig!$I$36)),III!$C150,0)</f>
        <v>0</v>
      </c>
      <c r="F35" s="69">
        <f>IF(OR(SUM('IV'!$C$144:'IV'!$C$150)&lt;&gt;0,SUM('IV'!$C$142:'IV'!$C$143)&lt;&gt;SUM(Huidig!$I$54,Huidig!$I$36)),'IV'!$C150,0)</f>
        <v>0</v>
      </c>
      <c r="G35" s="69">
        <f>IF(OR(SUM(V!$C$144:V!$C$150)&lt;&gt;0,SUM(V!$C$142:V!$C$143)&lt;&gt;SUM(Huidig!$I$54,Huidig!$I$36)),V!$C150,0)</f>
        <v>0</v>
      </c>
      <c r="H35" s="69">
        <f>IF(OR(SUM(VI!$C$144:VI!$C$150)&lt;&gt;0,SUM(VI!$C$142:VI!$C$143)&lt;&gt;SUM(Huidig!$I$54,Huidig!$I$36)),VI!$C150,0)</f>
        <v>0</v>
      </c>
      <c r="I35" s="69">
        <f>IF(OR(SUM(VII!$C$144:VII!$C$150)&lt;&gt;0,SUM(VII!$C$142:VII!$C$143)&lt;&gt;SUM(Huidig!$I$54,Huidig!$I$36)),VII!$C150,0)</f>
        <v>0</v>
      </c>
      <c r="J35" s="224">
        <f>IF(OR(SUM(Ref!$C$144:Ref!$C$150)&lt;&gt;0,SUM(Ref!$C$142:Ref!$C$143)&lt;&gt;SUM(Huidig!$I$54,Huidig!$I$36)),Ref!$C150,0)</f>
        <v>0</v>
      </c>
      <c r="K35" s="225"/>
      <c r="L35" s="79"/>
      <c r="M35" s="79"/>
      <c r="N35" s="79"/>
      <c r="O35" s="79"/>
      <c r="P35" s="79"/>
      <c r="Q35" s="79"/>
      <c r="R35" s="79"/>
      <c r="S35" s="79"/>
    </row>
    <row r="36" ht="12.75"/>
    <row r="37" ht="12.75"/>
    <row r="38" spans="1:11" s="19" customFormat="1" ht="38.25">
      <c r="A38" s="137" t="s">
        <v>100</v>
      </c>
      <c r="B38" s="132" t="str">
        <f>B26</f>
        <v>Nulvariant</v>
      </c>
      <c r="C38" s="132" t="str">
        <f aca="true" t="shared" si="1" ref="C38:I38">C26</f>
        <v>Variant I</v>
      </c>
      <c r="D38" s="132" t="str">
        <f t="shared" si="1"/>
        <v>Variant II</v>
      </c>
      <c r="E38" s="132" t="str">
        <f t="shared" si="1"/>
        <v>Variant III</v>
      </c>
      <c r="F38" s="132" t="str">
        <f t="shared" si="1"/>
        <v>Variant IV</v>
      </c>
      <c r="G38" s="132" t="str">
        <f t="shared" si="1"/>
        <v>Variant V</v>
      </c>
      <c r="H38" s="132" t="str">
        <f t="shared" si="1"/>
        <v>Variant VI</v>
      </c>
      <c r="I38" s="132" t="str">
        <f t="shared" si="1"/>
        <v>Variant VII</v>
      </c>
      <c r="J38" s="222" t="str">
        <f>J26</f>
        <v>MF-referentie</v>
      </c>
      <c r="K38" s="223" t="str">
        <f>K26</f>
        <v>Theoretisch maximum</v>
      </c>
    </row>
    <row r="39" spans="1:11" ht="12.75">
      <c r="A39" s="135" t="str">
        <f>A27</f>
        <v>M1 grondkwaliteit</v>
      </c>
      <c r="B39" s="69">
        <f aca="true" t="shared" si="2" ref="B39:K39">B27*$E15/$B15</f>
        <v>0</v>
      </c>
      <c r="C39" s="69">
        <f t="shared" si="2"/>
        <v>0</v>
      </c>
      <c r="D39" s="69">
        <f t="shared" si="2"/>
        <v>0</v>
      </c>
      <c r="E39" s="69">
        <f t="shared" si="2"/>
        <v>0</v>
      </c>
      <c r="F39" s="69">
        <f t="shared" si="2"/>
        <v>0</v>
      </c>
      <c r="G39" s="69">
        <f t="shared" si="2"/>
        <v>0</v>
      </c>
      <c r="H39" s="69">
        <f t="shared" si="2"/>
        <v>0</v>
      </c>
      <c r="I39" s="69">
        <f t="shared" si="2"/>
        <v>0</v>
      </c>
      <c r="J39" s="224">
        <f t="shared" si="2"/>
        <v>0</v>
      </c>
      <c r="K39" s="224">
        <f t="shared" si="2"/>
        <v>0</v>
      </c>
    </row>
    <row r="40" spans="1:11" ht="12.75">
      <c r="A40" s="135" t="str">
        <f>A28</f>
        <v>M2 grondwaterkwaliteit</v>
      </c>
      <c r="B40" s="69">
        <f aca="true" t="shared" si="3" ref="B40:K40">B28*$E16/$B16</f>
        <v>0</v>
      </c>
      <c r="C40" s="69">
        <f t="shared" si="3"/>
        <v>0</v>
      </c>
      <c r="D40" s="69">
        <f t="shared" si="3"/>
        <v>0</v>
      </c>
      <c r="E40" s="69">
        <f t="shared" si="3"/>
        <v>0</v>
      </c>
      <c r="F40" s="69">
        <f t="shared" si="3"/>
        <v>0</v>
      </c>
      <c r="G40" s="69">
        <f t="shared" si="3"/>
        <v>0</v>
      </c>
      <c r="H40" s="69">
        <f t="shared" si="3"/>
        <v>0</v>
      </c>
      <c r="I40" s="69">
        <f t="shared" si="3"/>
        <v>0</v>
      </c>
      <c r="J40" s="224">
        <f t="shared" si="3"/>
        <v>0</v>
      </c>
      <c r="K40" s="224">
        <f t="shared" si="3"/>
        <v>0</v>
      </c>
    </row>
    <row r="41" spans="1:11" ht="12.75">
      <c r="A41" s="135" t="str">
        <f aca="true" t="shared" si="4" ref="A41:A47">A29</f>
        <v>M3 verlies grond</v>
      </c>
      <c r="B41" s="69">
        <f aca="true" t="shared" si="5" ref="B41:J41">-B29*$E17/$B17</f>
        <v>0</v>
      </c>
      <c r="C41" s="69">
        <f t="shared" si="5"/>
        <v>0</v>
      </c>
      <c r="D41" s="69">
        <f t="shared" si="5"/>
        <v>0</v>
      </c>
      <c r="E41" s="69">
        <f t="shared" si="5"/>
        <v>0</v>
      </c>
      <c r="F41" s="69">
        <f t="shared" si="5"/>
        <v>0</v>
      </c>
      <c r="G41" s="69">
        <f t="shared" si="5"/>
        <v>0</v>
      </c>
      <c r="H41" s="69">
        <f t="shared" si="5"/>
        <v>0</v>
      </c>
      <c r="I41" s="69">
        <f t="shared" si="5"/>
        <v>0</v>
      </c>
      <c r="J41" s="224">
        <f t="shared" si="5"/>
        <v>0</v>
      </c>
      <c r="K41" s="224">
        <f aca="true" t="shared" si="6" ref="K41:K47">K29*$E17/$B17</f>
        <v>0</v>
      </c>
    </row>
    <row r="42" spans="1:11" ht="12.75">
      <c r="A42" s="135" t="str">
        <f t="shared" si="4"/>
        <v>M4 verlies grondwater</v>
      </c>
      <c r="B42" s="69">
        <f aca="true" t="shared" si="7" ref="B42:J42">-B30*$E18/$B18</f>
        <v>0</v>
      </c>
      <c r="C42" s="69">
        <f t="shared" si="7"/>
        <v>0</v>
      </c>
      <c r="D42" s="69">
        <f t="shared" si="7"/>
        <v>0</v>
      </c>
      <c r="E42" s="69">
        <f t="shared" si="7"/>
        <v>0</v>
      </c>
      <c r="F42" s="69">
        <f t="shared" si="7"/>
        <v>0</v>
      </c>
      <c r="G42" s="69">
        <f t="shared" si="7"/>
        <v>0</v>
      </c>
      <c r="H42" s="69">
        <f t="shared" si="7"/>
        <v>0</v>
      </c>
      <c r="I42" s="69">
        <f t="shared" si="7"/>
        <v>0</v>
      </c>
      <c r="J42" s="224">
        <f t="shared" si="7"/>
        <v>0</v>
      </c>
      <c r="K42" s="224">
        <f t="shared" si="6"/>
        <v>0</v>
      </c>
    </row>
    <row r="43" spans="1:11" ht="12.75">
      <c r="A43" s="135" t="str">
        <f t="shared" si="4"/>
        <v>M5 energiegebruik</v>
      </c>
      <c r="B43" s="69">
        <f aca="true" t="shared" si="8" ref="B43:J43">-B31*$E19/$B19</f>
        <v>0</v>
      </c>
      <c r="C43" s="69">
        <f t="shared" si="8"/>
        <v>0</v>
      </c>
      <c r="D43" s="69">
        <f t="shared" si="8"/>
        <v>0</v>
      </c>
      <c r="E43" s="69">
        <f t="shared" si="8"/>
        <v>0</v>
      </c>
      <c r="F43" s="69">
        <f t="shared" si="8"/>
        <v>0</v>
      </c>
      <c r="G43" s="69">
        <f t="shared" si="8"/>
        <v>0</v>
      </c>
      <c r="H43" s="69">
        <f t="shared" si="8"/>
        <v>0</v>
      </c>
      <c r="I43" s="69">
        <f t="shared" si="8"/>
        <v>0</v>
      </c>
      <c r="J43" s="224">
        <f t="shared" si="8"/>
        <v>0</v>
      </c>
      <c r="K43" s="224">
        <f t="shared" si="6"/>
        <v>0</v>
      </c>
    </row>
    <row r="44" spans="1:11" ht="12.75">
      <c r="A44" s="135" t="str">
        <f t="shared" si="4"/>
        <v>M6 luchtemissies</v>
      </c>
      <c r="B44" s="69">
        <f aca="true" t="shared" si="9" ref="B44:J44">-B32*$E20/$B20</f>
        <v>0</v>
      </c>
      <c r="C44" s="69">
        <f t="shared" si="9"/>
        <v>0</v>
      </c>
      <c r="D44" s="69">
        <f t="shared" si="9"/>
        <v>0</v>
      </c>
      <c r="E44" s="69">
        <f t="shared" si="9"/>
        <v>0</v>
      </c>
      <c r="F44" s="69">
        <f t="shared" si="9"/>
        <v>0</v>
      </c>
      <c r="G44" s="69">
        <f t="shared" si="9"/>
        <v>0</v>
      </c>
      <c r="H44" s="69">
        <f t="shared" si="9"/>
        <v>0</v>
      </c>
      <c r="I44" s="69">
        <f t="shared" si="9"/>
        <v>0</v>
      </c>
      <c r="J44" s="224">
        <f t="shared" si="9"/>
        <v>0</v>
      </c>
      <c r="K44" s="224">
        <f t="shared" si="6"/>
        <v>0</v>
      </c>
    </row>
    <row r="45" spans="1:11" ht="12.75">
      <c r="A45" s="135" t="str">
        <f t="shared" si="4"/>
        <v>M7 opp. wateremissies</v>
      </c>
      <c r="B45" s="69">
        <f aca="true" t="shared" si="10" ref="B45:J45">-B33*$E21/$B21</f>
        <v>0</v>
      </c>
      <c r="C45" s="69">
        <f t="shared" si="10"/>
        <v>0</v>
      </c>
      <c r="D45" s="69">
        <f t="shared" si="10"/>
        <v>0</v>
      </c>
      <c r="E45" s="69">
        <f t="shared" si="10"/>
        <v>0</v>
      </c>
      <c r="F45" s="69">
        <f t="shared" si="10"/>
        <v>0</v>
      </c>
      <c r="G45" s="69">
        <f t="shared" si="10"/>
        <v>0</v>
      </c>
      <c r="H45" s="69">
        <f t="shared" si="10"/>
        <v>0</v>
      </c>
      <c r="I45" s="69">
        <f t="shared" si="10"/>
        <v>0</v>
      </c>
      <c r="J45" s="224">
        <f t="shared" si="10"/>
        <v>0</v>
      </c>
      <c r="K45" s="224">
        <f t="shared" si="6"/>
        <v>0</v>
      </c>
    </row>
    <row r="46" spans="1:11" ht="12.75">
      <c r="A46" s="135" t="str">
        <f t="shared" si="4"/>
        <v>M8 afvalvorming</v>
      </c>
      <c r="B46" s="69">
        <f aca="true" t="shared" si="11" ref="B46:J46">-B34*$E22/$B22</f>
        <v>0</v>
      </c>
      <c r="C46" s="69">
        <f t="shared" si="11"/>
        <v>0</v>
      </c>
      <c r="D46" s="69">
        <f t="shared" si="11"/>
        <v>0</v>
      </c>
      <c r="E46" s="69">
        <f t="shared" si="11"/>
        <v>0</v>
      </c>
      <c r="F46" s="69">
        <f t="shared" si="11"/>
        <v>0</v>
      </c>
      <c r="G46" s="69">
        <f t="shared" si="11"/>
        <v>0</v>
      </c>
      <c r="H46" s="69">
        <f t="shared" si="11"/>
        <v>0</v>
      </c>
      <c r="I46" s="69">
        <f t="shared" si="11"/>
        <v>0</v>
      </c>
      <c r="J46" s="224">
        <f t="shared" si="11"/>
        <v>0</v>
      </c>
      <c r="K46" s="224">
        <f t="shared" si="6"/>
        <v>0</v>
      </c>
    </row>
    <row r="47" spans="1:19" ht="12.75">
      <c r="A47" s="135" t="str">
        <f t="shared" si="4"/>
        <v>M9 ruimtebeslag</v>
      </c>
      <c r="B47" s="69">
        <f aca="true" t="shared" si="12" ref="B47:J47">-B35*$E23/$B23</f>
        <v>0</v>
      </c>
      <c r="C47" s="69">
        <f t="shared" si="12"/>
        <v>0</v>
      </c>
      <c r="D47" s="69">
        <f t="shared" si="12"/>
        <v>0</v>
      </c>
      <c r="E47" s="69">
        <f t="shared" si="12"/>
        <v>0</v>
      </c>
      <c r="F47" s="69">
        <f t="shared" si="12"/>
        <v>0</v>
      </c>
      <c r="G47" s="69">
        <f t="shared" si="12"/>
        <v>0</v>
      </c>
      <c r="H47" s="69">
        <f t="shared" si="12"/>
        <v>0</v>
      </c>
      <c r="I47" s="69">
        <f t="shared" si="12"/>
        <v>0</v>
      </c>
      <c r="J47" s="224">
        <f t="shared" si="12"/>
        <v>0</v>
      </c>
      <c r="K47" s="224">
        <f t="shared" si="6"/>
        <v>0</v>
      </c>
      <c r="L47" s="102"/>
      <c r="M47" s="102"/>
      <c r="N47" s="102"/>
      <c r="O47" s="102"/>
      <c r="P47" s="102"/>
      <c r="Q47" s="102"/>
      <c r="R47" s="102"/>
      <c r="S47" s="102"/>
    </row>
    <row r="48" spans="1:19" ht="12.75">
      <c r="A48" s="136" t="s">
        <v>101</v>
      </c>
      <c r="B48" s="69">
        <f>SUM(B39:B47)</f>
        <v>0</v>
      </c>
      <c r="C48" s="69">
        <f aca="true" t="shared" si="13" ref="C48:I48">SUM(C39:C47)</f>
        <v>0</v>
      </c>
      <c r="D48" s="69">
        <f t="shared" si="13"/>
        <v>0</v>
      </c>
      <c r="E48" s="69">
        <f t="shared" si="13"/>
        <v>0</v>
      </c>
      <c r="F48" s="69">
        <f t="shared" si="13"/>
        <v>0</v>
      </c>
      <c r="G48" s="69">
        <f t="shared" si="13"/>
        <v>0</v>
      </c>
      <c r="H48" s="69">
        <f t="shared" si="13"/>
        <v>0</v>
      </c>
      <c r="I48" s="69">
        <f t="shared" si="13"/>
        <v>0</v>
      </c>
      <c r="J48" s="224"/>
      <c r="K48" s="225"/>
      <c r="L48" s="102"/>
      <c r="M48" s="102"/>
      <c r="N48" s="102"/>
      <c r="O48" s="102"/>
      <c r="P48" s="102"/>
      <c r="Q48" s="102"/>
      <c r="R48" s="102"/>
      <c r="S48" s="102"/>
    </row>
    <row r="49" spans="1:19" ht="12.75">
      <c r="A49" s="136" t="s">
        <v>314</v>
      </c>
      <c r="B49" s="69">
        <f>I49</f>
        <v>0</v>
      </c>
      <c r="C49" s="69">
        <f>K49</f>
        <v>0</v>
      </c>
      <c r="D49" s="69">
        <f aca="true" t="shared" si="14" ref="D49:I49">C49</f>
        <v>0</v>
      </c>
      <c r="E49" s="69">
        <f t="shared" si="14"/>
        <v>0</v>
      </c>
      <c r="F49" s="69">
        <f t="shared" si="14"/>
        <v>0</v>
      </c>
      <c r="G49" s="69">
        <f t="shared" si="14"/>
        <v>0</v>
      </c>
      <c r="H49" s="69">
        <f t="shared" si="14"/>
        <v>0</v>
      </c>
      <c r="I49" s="69">
        <f t="shared" si="14"/>
        <v>0</v>
      </c>
      <c r="J49" s="224">
        <f>I49</f>
        <v>0</v>
      </c>
      <c r="K49" s="224">
        <f>SUM(K39:K47)</f>
        <v>0</v>
      </c>
      <c r="L49" s="102"/>
      <c r="M49" s="102"/>
      <c r="N49" s="102"/>
      <c r="O49" s="102"/>
      <c r="P49" s="102"/>
      <c r="Q49" s="102"/>
      <c r="R49" s="102"/>
      <c r="S49" s="102"/>
    </row>
    <row r="50" spans="1:19" ht="12" customHeight="1">
      <c r="A50" s="136" t="s">
        <v>398</v>
      </c>
      <c r="B50" s="69">
        <f>I50</f>
        <v>0</v>
      </c>
      <c r="C50" s="69">
        <f>J50</f>
        <v>0</v>
      </c>
      <c r="D50" s="69">
        <f aca="true" t="shared" si="15" ref="D50:I50">C50</f>
        <v>0</v>
      </c>
      <c r="E50" s="69">
        <f t="shared" si="15"/>
        <v>0</v>
      </c>
      <c r="F50" s="69">
        <f t="shared" si="15"/>
        <v>0</v>
      </c>
      <c r="G50" s="69">
        <f t="shared" si="15"/>
        <v>0</v>
      </c>
      <c r="H50" s="69">
        <f t="shared" si="15"/>
        <v>0</v>
      </c>
      <c r="I50" s="69">
        <f t="shared" si="15"/>
        <v>0</v>
      </c>
      <c r="J50" s="224">
        <f>SUM(J39:J47)</f>
        <v>0</v>
      </c>
      <c r="K50" s="224">
        <f>J50</f>
        <v>0</v>
      </c>
      <c r="L50" s="102"/>
      <c r="M50" s="102"/>
      <c r="N50" s="102"/>
      <c r="O50" s="102"/>
      <c r="P50" s="102"/>
      <c r="Q50" s="102"/>
      <c r="R50" s="102"/>
      <c r="S50" s="102"/>
    </row>
    <row r="51" ht="18" customHeight="1"/>
    <row r="52" ht="12.75">
      <c r="A52" s="45" t="str">
        <f>A8</f>
        <v>Grafiek gewogen prestaties</v>
      </c>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c r="A71" s="45" t="str">
        <f>A9</f>
        <v>Grafiek bijdrage elk aspect</v>
      </c>
    </row>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spans="2:11" s="228" customFormat="1" ht="12.75">
      <c r="B94" s="228" t="str">
        <f>IF(AND(B27=0,B28=0,B48=0),"*&amp;Hide&amp;*",1)</f>
        <v>*&amp;Hide&amp;*</v>
      </c>
      <c r="C94" s="228" t="str">
        <f aca="true" t="shared" si="16" ref="C94:K94">IF(AND(C27=0,C28=0,C48=0),"*&amp;Hide&amp;*",1)</f>
        <v>*&amp;Hide&amp;*</v>
      </c>
      <c r="D94" s="228" t="str">
        <f t="shared" si="16"/>
        <v>*&amp;Hide&amp;*</v>
      </c>
      <c r="E94" s="228" t="str">
        <f t="shared" si="16"/>
        <v>*&amp;Hide&amp;*</v>
      </c>
      <c r="F94" s="228" t="str">
        <f t="shared" si="16"/>
        <v>*&amp;Hide&amp;*</v>
      </c>
      <c r="G94" s="228" t="str">
        <f t="shared" si="16"/>
        <v>*&amp;Hide&amp;*</v>
      </c>
      <c r="H94" s="228" t="str">
        <f t="shared" si="16"/>
        <v>*&amp;Hide&amp;*</v>
      </c>
      <c r="I94" s="228" t="str">
        <f t="shared" si="16"/>
        <v>*&amp;Hide&amp;*</v>
      </c>
      <c r="K94" s="228" t="str">
        <f t="shared" si="16"/>
        <v>*&amp;Hide&amp;*</v>
      </c>
    </row>
    <row r="95" s="228" customFormat="1" ht="12.75">
      <c r="B95" s="228">
        <f>8-SUM(B94:I94)</f>
        <v>8</v>
      </c>
    </row>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sheetData>
  <sheetProtection sheet="1" scenarios="1"/>
  <printOptions/>
  <pageMargins left="0.75" right="0.75" top="1" bottom="1" header="0.5" footer="0.5"/>
  <pageSetup fitToHeight="0" fitToWidth="1" horizontalDpi="300" verticalDpi="300" orientation="portrait" paperSize="9" scale="58" r:id="rId4"/>
  <headerFooter alignWithMargins="0">
    <oddHeader>&amp;C&amp;F</oddHeader>
    <oddFooter>&amp;CMilieuverdienste in RMK</oddFooter>
  </headerFooter>
  <rowBreaks count="2" manualBreakCount="2">
    <brk id="51" max="15" man="1"/>
    <brk id="93" max="15"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9">
    <pageSetUpPr fitToPage="1"/>
  </sheetPr>
  <dimension ref="A1:U95"/>
  <sheetViews>
    <sheetView showGridLines="0" zoomScale="90" zoomScaleNormal="90" workbookViewId="0" topLeftCell="A1">
      <selection activeCell="A2" sqref="A2"/>
    </sheetView>
  </sheetViews>
  <sheetFormatPr defaultColWidth="9.140625" defaultRowHeight="12.75"/>
  <cols>
    <col min="1" max="1" width="28.421875" style="20" customWidth="1"/>
    <col min="2" max="2" width="10.7109375" style="20" customWidth="1"/>
    <col min="3" max="5" width="8.140625" style="20" customWidth="1"/>
    <col min="6" max="9" width="7.8515625" style="20" customWidth="1"/>
    <col min="10" max="10" width="9.28125" style="20" customWidth="1"/>
    <col min="11" max="11" width="10.28125" style="20" customWidth="1"/>
    <col min="12" max="12" width="7.28125" style="20" customWidth="1"/>
    <col min="13" max="13" width="7.140625" style="20" customWidth="1"/>
    <col min="14" max="18" width="6.140625" style="20" customWidth="1"/>
    <col min="19" max="19" width="6.28125" style="20" customWidth="1"/>
    <col min="20" max="16384" width="8.8515625" style="20" customWidth="1"/>
  </cols>
  <sheetData>
    <row r="1" ht="20.25">
      <c r="A1" s="41" t="s">
        <v>411</v>
      </c>
    </row>
    <row r="2" ht="12.75"/>
    <row r="3" ht="12.75">
      <c r="A3" s="103" t="str">
        <f>Huidig!A3</f>
        <v>Terug naar inhoud:</v>
      </c>
    </row>
    <row r="4" ht="12.75">
      <c r="A4" s="45" t="s">
        <v>91</v>
      </c>
    </row>
    <row r="5" ht="12.75">
      <c r="A5" s="20" t="s">
        <v>92</v>
      </c>
    </row>
    <row r="6" ht="12.75">
      <c r="A6" s="20" t="s">
        <v>93</v>
      </c>
    </row>
    <row r="7" ht="12.75">
      <c r="A7" s="20" t="s">
        <v>94</v>
      </c>
    </row>
    <row r="8" ht="12.75">
      <c r="A8" s="20" t="s">
        <v>95</v>
      </c>
    </row>
    <row r="9" ht="12.75">
      <c r="A9" s="20" t="s">
        <v>96</v>
      </c>
    </row>
    <row r="10" ht="12.75"/>
    <row r="11" ht="12.75"/>
    <row r="12" ht="12.75"/>
    <row r="13" ht="12.75"/>
    <row r="14" spans="1:7" s="19" customFormat="1" ht="38.25">
      <c r="A14" s="137" t="s">
        <v>97</v>
      </c>
      <c r="B14" s="132" t="s">
        <v>324</v>
      </c>
      <c r="C14" s="138" t="s">
        <v>98</v>
      </c>
      <c r="D14" s="139"/>
      <c r="E14" s="141" t="s">
        <v>99</v>
      </c>
      <c r="F14" s="334" t="s">
        <v>403</v>
      </c>
      <c r="G14" s="141" t="s">
        <v>304</v>
      </c>
    </row>
    <row r="15" spans="1:9" ht="12.75">
      <c r="A15" s="135" t="str">
        <f aca="true" t="shared" si="0" ref="A15:A23">A27</f>
        <v>M1 grondkwaliteit</v>
      </c>
      <c r="B15" s="140">
        <v>50</v>
      </c>
      <c r="C15" s="68" t="s">
        <v>360</v>
      </c>
      <c r="D15"/>
      <c r="E15" s="142">
        <f>F15/SUM($F$15:$F$23)</f>
        <v>0.1111111111111111</v>
      </c>
      <c r="F15" s="38">
        <f>1</f>
        <v>1</v>
      </c>
      <c r="G15" s="226">
        <v>0.10999469786603788</v>
      </c>
      <c r="H15" s="81"/>
      <c r="I15" s="81"/>
    </row>
    <row r="16" spans="1:9" ht="12.75">
      <c r="A16" s="135" t="str">
        <f t="shared" si="0"/>
        <v>M2 grondwaterkwaliteit</v>
      </c>
      <c r="B16" s="140">
        <v>800</v>
      </c>
      <c r="C16" s="68" t="s">
        <v>360</v>
      </c>
      <c r="D16"/>
      <c r="E16" s="142">
        <f aca="true" t="shared" si="1" ref="E16:E23">F16/SUM($F$15:$F$23)</f>
        <v>0.1111111111111111</v>
      </c>
      <c r="F16" s="38">
        <f>1</f>
        <v>1</v>
      </c>
      <c r="G16" s="226">
        <v>0.2702711717081363</v>
      </c>
      <c r="H16" s="81"/>
      <c r="I16" s="81"/>
    </row>
    <row r="17" spans="1:9" ht="14.25">
      <c r="A17" s="135" t="str">
        <f t="shared" si="0"/>
        <v>M3 verlies grond</v>
      </c>
      <c r="B17" s="140">
        <v>-460</v>
      </c>
      <c r="C17" s="68" t="s">
        <v>87</v>
      </c>
      <c r="D17"/>
      <c r="E17" s="142">
        <f t="shared" si="1"/>
        <v>0.1111111111111111</v>
      </c>
      <c r="F17" s="38">
        <f>1</f>
        <v>1</v>
      </c>
      <c r="G17" s="226">
        <v>0.09076010577215286</v>
      </c>
      <c r="H17" s="81"/>
      <c r="I17" s="81"/>
    </row>
    <row r="18" spans="1:9" ht="14.25">
      <c r="A18" s="135" t="str">
        <f t="shared" si="0"/>
        <v>M4 verlies grondwater</v>
      </c>
      <c r="B18" s="140">
        <v>-1600</v>
      </c>
      <c r="C18" s="68" t="s">
        <v>88</v>
      </c>
      <c r="D18"/>
      <c r="E18" s="142">
        <f t="shared" si="1"/>
        <v>0.1111111111111111</v>
      </c>
      <c r="F18" s="38">
        <f>1</f>
        <v>1</v>
      </c>
      <c r="G18" s="226">
        <v>0.186089497458445</v>
      </c>
      <c r="H18" s="81"/>
      <c r="I18" s="81"/>
    </row>
    <row r="19" spans="1:9" ht="12.75">
      <c r="A19" s="135" t="str">
        <f t="shared" si="0"/>
        <v>M5 energiegebruik</v>
      </c>
      <c r="B19" s="140">
        <f>-4100/200</f>
        <v>-20.5</v>
      </c>
      <c r="C19" s="68" t="s">
        <v>74</v>
      </c>
      <c r="D19"/>
      <c r="E19" s="142">
        <f t="shared" si="1"/>
        <v>0.1111111111111111</v>
      </c>
      <c r="F19" s="38">
        <f>1</f>
        <v>1</v>
      </c>
      <c r="G19" s="226">
        <v>0.06348115726372497</v>
      </c>
      <c r="H19" s="81"/>
      <c r="I19" s="81"/>
    </row>
    <row r="20" spans="1:9" ht="12.75">
      <c r="A20" s="135" t="str">
        <f t="shared" si="0"/>
        <v>M6 luchtemissies</v>
      </c>
      <c r="B20" s="140">
        <v>-60</v>
      </c>
      <c r="C20" s="68" t="s">
        <v>74</v>
      </c>
      <c r="D20"/>
      <c r="E20" s="142">
        <f t="shared" si="1"/>
        <v>0.1111111111111111</v>
      </c>
      <c r="F20" s="38">
        <f>1</f>
        <v>1</v>
      </c>
      <c r="G20" s="226">
        <v>0.05018815670288029</v>
      </c>
      <c r="H20" s="81"/>
      <c r="I20" s="81"/>
    </row>
    <row r="21" spans="1:21" ht="12.75">
      <c r="A21" s="135" t="str">
        <f t="shared" si="0"/>
        <v>M7 opp. wateremissies</v>
      </c>
      <c r="B21" s="140">
        <v>-700</v>
      </c>
      <c r="C21" s="68" t="s">
        <v>360</v>
      </c>
      <c r="D21"/>
      <c r="E21" s="142">
        <f t="shared" si="1"/>
        <v>0.1111111111111111</v>
      </c>
      <c r="F21" s="38">
        <f>1</f>
        <v>1</v>
      </c>
      <c r="G21" s="226">
        <v>0.11372376020965569</v>
      </c>
      <c r="H21" s="81"/>
      <c r="I21" s="81"/>
      <c r="U21" s="79"/>
    </row>
    <row r="22" spans="1:9" ht="14.25">
      <c r="A22" s="135" t="str">
        <f t="shared" si="0"/>
        <v>M8 afvalvorming</v>
      </c>
      <c r="B22" s="140">
        <v>-300</v>
      </c>
      <c r="C22" s="68" t="s">
        <v>87</v>
      </c>
      <c r="D22"/>
      <c r="E22" s="142">
        <f t="shared" si="1"/>
        <v>0.1111111111111111</v>
      </c>
      <c r="F22" s="38">
        <f>1</f>
        <v>1</v>
      </c>
      <c r="G22" s="226">
        <v>0.07426261527314204</v>
      </c>
      <c r="H22" s="81"/>
      <c r="I22" s="81"/>
    </row>
    <row r="23" spans="1:9" ht="14.25">
      <c r="A23" s="135" t="str">
        <f t="shared" si="0"/>
        <v>M9 ruimtebeslag</v>
      </c>
      <c r="B23" s="140">
        <v>-3000</v>
      </c>
      <c r="C23" s="68" t="s">
        <v>89</v>
      </c>
      <c r="D23"/>
      <c r="E23" s="142">
        <f t="shared" si="1"/>
        <v>0.1111111111111111</v>
      </c>
      <c r="F23" s="38">
        <f>1</f>
        <v>1</v>
      </c>
      <c r="G23" s="226">
        <v>0.041405873446117646</v>
      </c>
      <c r="H23" s="81"/>
      <c r="I23" s="81"/>
    </row>
    <row r="24" spans="4:5" ht="12.75">
      <c r="D24" s="101"/>
      <c r="E24" s="81"/>
    </row>
    <row r="25" ht="12.75"/>
    <row r="26" spans="1:19" s="19" customFormat="1" ht="30.75" customHeight="1">
      <c r="A26" s="137" t="str">
        <f>A6</f>
        <v>Tabel prestaties</v>
      </c>
      <c r="B26" s="132" t="str">
        <f>I!$A$1</f>
        <v>Variant I</v>
      </c>
      <c r="C26" s="132" t="str">
        <f>'II'!$A$1</f>
        <v>Variant II</v>
      </c>
      <c r="D26" s="132" t="str">
        <f>III!$A$1</f>
        <v>Variant III</v>
      </c>
      <c r="E26" s="132" t="str">
        <f>'IV'!$A$1</f>
        <v>Variant IV</v>
      </c>
      <c r="F26" s="132" t="str">
        <f>V!$A$1</f>
        <v>Variant V</v>
      </c>
      <c r="G26" s="132" t="str">
        <f>VI!$A$1</f>
        <v>Variant VI</v>
      </c>
      <c r="H26" s="132" t="str">
        <f>VII!$A$1</f>
        <v>Variant VII</v>
      </c>
      <c r="I26" s="132" t="str">
        <f>0!$A$1</f>
        <v>Nulvariant</v>
      </c>
      <c r="J26" s="222" t="str">
        <f>Ref!$A$1</f>
        <v>MF-referentie</v>
      </c>
      <c r="K26" s="223" t="s">
        <v>314</v>
      </c>
      <c r="L26" s="79"/>
      <c r="M26" s="79"/>
      <c r="N26" s="79"/>
      <c r="O26" s="79"/>
      <c r="P26" s="79"/>
      <c r="Q26" s="79"/>
      <c r="R26" s="79"/>
      <c r="S26" s="79"/>
    </row>
    <row r="27" spans="1:19" ht="12.75">
      <c r="A27" s="135" t="str">
        <f>I!A142</f>
        <v>M1 grondkwaliteit</v>
      </c>
      <c r="B27" s="69">
        <f>IF(OR(SUM(I!$C$144:I!$C$150)&lt;&gt;0,SUM(I!$C$142:I!$C$143)&lt;&gt;SUM(Huidig!$I$54,Huidig!$I$36)),I!$C142,0)</f>
        <v>0</v>
      </c>
      <c r="C27" s="69">
        <f>IF(OR(SUM('II'!$C$144:'II'!$C$150)&lt;&gt;0,SUM('II'!$C$142:'II'!$C$143)&lt;&gt;SUM(Huidig!$I$54,Huidig!$I$36)),'II'!$C142,0)</f>
        <v>0</v>
      </c>
      <c r="D27" s="69">
        <f>IF(OR(SUM(III!$C$144:III!$C$150)&lt;&gt;0,SUM(III!$C$142:III!$C$143)&lt;&gt;SUM(Huidig!$I$54,Huidig!$I$36)),III!$C142,0)</f>
        <v>0</v>
      </c>
      <c r="E27" s="69">
        <f>IF(OR(SUM('IV'!$C$144:'IV'!$C$150)&lt;&gt;0,SUM('IV'!$C$142:'IV'!$C$143)&lt;&gt;SUM(Huidig!$I$54,Huidig!$I$36)),'IV'!$C142,0)</f>
        <v>0</v>
      </c>
      <c r="F27" s="69">
        <f>IF(OR(SUM(V!$C$144:V!$C$150)&lt;&gt;0,SUM(V!$C$142:V!$C$143)&lt;&gt;SUM(Huidig!$I$54,Huidig!$I$36)),V!$C142,0)</f>
        <v>0</v>
      </c>
      <c r="G27" s="69">
        <f>IF(OR(SUM(VI!$C$144:VI!$C$150)&lt;&gt;0,SUM(VI!$C$142:VI!$C$143)&lt;&gt;SUM(Huidig!$I$54,Huidig!$I$36)),VI!$C142,0)</f>
        <v>0</v>
      </c>
      <c r="H27" s="69">
        <f>IF(OR(SUM(VII!$C$144:VII!$C$150)&lt;&gt;0,SUM(VII!$C$142:VII!$C$143)&lt;&gt;SUM(Huidig!$I$54,Huidig!$I$36)),VII!$C142,0)</f>
        <v>0</v>
      </c>
      <c r="I27" s="69">
        <f>IF(OR(SUM(0!$C$144:0!$C$150)&lt;&gt;0,SUM(0!$C$142:0!$C$143)&lt;&gt;SUM(Huidig!$I$54,Huidig!$I$36)),0!$C142,0)</f>
        <v>0</v>
      </c>
      <c r="J27" s="224">
        <f>IF(OR(SUM(Ref!$C$144:Ref!$C$150)&lt;&gt;0,SUM(Ref!$C$142:Ref!$C$143)&lt;&gt;SUM(Huidig!$I$54,Huidig!$I$36)),Ref!$C142,0)</f>
        <v>0</v>
      </c>
      <c r="K27" s="225">
        <f>Huidig!I36/1000</f>
        <v>0</v>
      </c>
      <c r="L27" s="79"/>
      <c r="M27" s="79"/>
      <c r="N27" s="79"/>
      <c r="O27" s="79"/>
      <c r="P27" s="79"/>
      <c r="Q27" s="79"/>
      <c r="R27" s="79"/>
      <c r="S27" s="79"/>
    </row>
    <row r="28" spans="1:19" ht="12.75">
      <c r="A28" s="135" t="str">
        <f>I!A143</f>
        <v>M2 grondwaterkwaliteit</v>
      </c>
      <c r="B28" s="69">
        <f>IF(OR(SUM(I!$C$144:I!$C$150)&lt;&gt;0,SUM(I!$C$142:I!$C$143)&lt;&gt;SUM(Huidig!$I$54,Huidig!$I$36)),I!$C143,0)</f>
        <v>0</v>
      </c>
      <c r="C28" s="69">
        <f>IF(OR(SUM('II'!$C$144:'II'!$C$150)&lt;&gt;0,SUM('II'!$C$142:'II'!$C$143)&lt;&gt;SUM(Huidig!$I$54,Huidig!$I$36)),'II'!$C143,0)</f>
        <v>0</v>
      </c>
      <c r="D28" s="69">
        <f>IF(OR(SUM(III!$C$144:III!$C$150)&lt;&gt;0,SUM(III!$C$142:III!$C$143)&lt;&gt;SUM(Huidig!$I$54,Huidig!$I$36)),III!$C143,0)</f>
        <v>0</v>
      </c>
      <c r="E28" s="69">
        <f>IF(OR(SUM('IV'!$C$144:'IV'!$C$150)&lt;&gt;0,SUM('IV'!$C$142:'IV'!$C$143)&lt;&gt;SUM(Huidig!$I$54,Huidig!$I$36)),'IV'!$C143,0)</f>
        <v>0</v>
      </c>
      <c r="F28" s="69">
        <f>IF(OR(SUM(V!$C$144:V!$C$150)&lt;&gt;0,SUM(V!$C$142:V!$C$143)&lt;&gt;SUM(Huidig!$I$54,Huidig!$I$36)),V!$C143,0)</f>
        <v>0</v>
      </c>
      <c r="G28" s="69">
        <f>IF(OR(SUM(VI!$C$144:VI!$C$150)&lt;&gt;0,SUM(VI!$C$142:VI!$C$143)&lt;&gt;SUM(Huidig!$I$54,Huidig!$I$36)),VI!$C143,0)</f>
        <v>0</v>
      </c>
      <c r="H28" s="69">
        <f>IF(OR(SUM(VII!$C$144:VII!$C$150)&lt;&gt;0,SUM(VII!$C$142:VII!$C$143)&lt;&gt;SUM(Huidig!$I$54,Huidig!$I$36)),VII!$C143,0)</f>
        <v>0</v>
      </c>
      <c r="I28" s="69">
        <f>IF(OR(SUM(0!$C$144:0!$C$150)&lt;&gt;0,SUM(0!$C$142:0!$C$143)&lt;&gt;SUM(Huidig!$I$54,Huidig!$I$36)),0!$C143,0)</f>
        <v>0</v>
      </c>
      <c r="J28" s="224">
        <f>IF(OR(SUM(Ref!$C$144:Ref!$C$150)&lt;&gt;0,SUM(Ref!$C$142:Ref!$C$143)&lt;&gt;SUM(Huidig!$I$54,Huidig!$I$36)),Ref!$C143,0)</f>
        <v>0</v>
      </c>
      <c r="K28" s="225">
        <f>Huidig!I54/1000</f>
        <v>0</v>
      </c>
      <c r="L28" s="79"/>
      <c r="M28" s="79"/>
      <c r="N28" s="79"/>
      <c r="O28" s="79"/>
      <c r="P28" s="79"/>
      <c r="Q28" s="79"/>
      <c r="R28" s="79"/>
      <c r="S28" s="79"/>
    </row>
    <row r="29" spans="1:19" ht="12.75">
      <c r="A29" s="135" t="str">
        <f>I!A144</f>
        <v>M3 verlies grond</v>
      </c>
      <c r="B29" s="69">
        <f>IF(OR(SUM(I!$C$144:I!$C$150)&lt;&gt;0,SUM(I!$C$142:I!$C$143)&lt;&gt;SUM(Huidig!$I$54,Huidig!$I$36)),I!$C144,0)</f>
        <v>0</v>
      </c>
      <c r="C29" s="69">
        <f>IF(OR(SUM('II'!$C$144:'II'!$C$150)&lt;&gt;0,SUM('II'!$C$142:'II'!$C$143)&lt;&gt;SUM(Huidig!$I$54,Huidig!$I$36)),'II'!$C144,0)</f>
        <v>0</v>
      </c>
      <c r="D29" s="69">
        <f>IF(OR(SUM(III!$C$144:III!$C$150)&lt;&gt;0,SUM(III!$C$142:III!$C$143)&lt;&gt;SUM(Huidig!$I$54,Huidig!$I$36)),III!$C144,0)</f>
        <v>0</v>
      </c>
      <c r="E29" s="69">
        <f>IF(OR(SUM('IV'!$C$144:'IV'!$C$150)&lt;&gt;0,SUM('IV'!$C$142:'IV'!$C$143)&lt;&gt;SUM(Huidig!$I$54,Huidig!$I$36)),'IV'!$C144,0)</f>
        <v>0</v>
      </c>
      <c r="F29" s="69">
        <f>IF(OR(SUM(V!$C$144:V!$C$150)&lt;&gt;0,SUM(V!$C$142:V!$C$143)&lt;&gt;SUM(Huidig!$I$54,Huidig!$I$36)),V!$C144,0)</f>
        <v>0</v>
      </c>
      <c r="G29" s="69">
        <f>IF(OR(SUM(VI!$C$144:VI!$C$150)&lt;&gt;0,SUM(VI!$C$142:VI!$C$143)&lt;&gt;SUM(Huidig!$I$54,Huidig!$I$36)),VI!$C144,0)</f>
        <v>0</v>
      </c>
      <c r="H29" s="69">
        <f>IF(OR(SUM(VII!$C$144:VII!$C$150)&lt;&gt;0,SUM(VII!$C$142:VII!$C$143)&lt;&gt;SUM(Huidig!$I$54,Huidig!$I$36)),VII!$C144,0)</f>
        <v>0</v>
      </c>
      <c r="I29" s="69">
        <f>IF(OR(SUM(0!$C$144:0!$C$150)&lt;&gt;0,SUM(0!$C$142:0!$C$143)&lt;&gt;SUM(Huidig!$I$54,Huidig!$I$36)),0!$C144,0)</f>
        <v>0</v>
      </c>
      <c r="J29" s="224">
        <f>IF(OR(SUM(Ref!$C$144:Ref!$C$150)&lt;&gt;0,SUM(Ref!$C$142:Ref!$C$143)&lt;&gt;SUM(Huidig!$I$54,Huidig!$I$36)),Ref!$C144,0)</f>
        <v>0</v>
      </c>
      <c r="K29" s="225"/>
      <c r="L29" s="79"/>
      <c r="M29" s="79"/>
      <c r="N29" s="79"/>
      <c r="O29" s="79"/>
      <c r="P29" s="79"/>
      <c r="Q29" s="79"/>
      <c r="R29" s="79"/>
      <c r="S29" s="79"/>
    </row>
    <row r="30" spans="1:19" ht="12.75">
      <c r="A30" s="135" t="str">
        <f>I!A145</f>
        <v>M4 verlies grondwater</v>
      </c>
      <c r="B30" s="69">
        <f>IF(OR(SUM(I!$C$144:I!$C$150)&lt;&gt;0,SUM(I!$C$142:I!$C$143)&lt;&gt;SUM(Huidig!$I$54,Huidig!$I$36)),I!$C145,0)</f>
        <v>0</v>
      </c>
      <c r="C30" s="69">
        <f>IF(OR(SUM('II'!$C$144:'II'!$C$150)&lt;&gt;0,SUM('II'!$C$142:'II'!$C$143)&lt;&gt;SUM(Huidig!$I$54,Huidig!$I$36)),'II'!$C145,0)</f>
        <v>0</v>
      </c>
      <c r="D30" s="69">
        <f>IF(OR(SUM(III!$C$144:III!$C$150)&lt;&gt;0,SUM(III!$C$142:III!$C$143)&lt;&gt;SUM(Huidig!$I$54,Huidig!$I$36)),III!$C145,0)</f>
        <v>0</v>
      </c>
      <c r="E30" s="69">
        <f>IF(OR(SUM('IV'!$C$144:'IV'!$C$150)&lt;&gt;0,SUM('IV'!$C$142:'IV'!$C$143)&lt;&gt;SUM(Huidig!$I$54,Huidig!$I$36)),'IV'!$C145,0)</f>
        <v>0</v>
      </c>
      <c r="F30" s="69">
        <f>IF(OR(SUM(V!$C$144:V!$C$150)&lt;&gt;0,SUM(V!$C$142:V!$C$143)&lt;&gt;SUM(Huidig!$I$54,Huidig!$I$36)),V!$C145,0)</f>
        <v>0</v>
      </c>
      <c r="G30" s="69">
        <f>IF(OR(SUM(VI!$C$144:VI!$C$150)&lt;&gt;0,SUM(VI!$C$142:VI!$C$143)&lt;&gt;SUM(Huidig!$I$54,Huidig!$I$36)),VI!$C145,0)</f>
        <v>0</v>
      </c>
      <c r="H30" s="69">
        <f>IF(OR(SUM(VII!$C$144:VII!$C$150)&lt;&gt;0,SUM(VII!$C$142:VII!$C$143)&lt;&gt;SUM(Huidig!$I$54,Huidig!$I$36)),VII!$C145,0)</f>
        <v>0</v>
      </c>
      <c r="I30" s="69">
        <f>IF(OR(SUM(0!$C$144:0!$C$150)&lt;&gt;0,SUM(0!$C$142:0!$C$143)&lt;&gt;SUM(Huidig!$I$54,Huidig!$I$36)),0!$C145,0)</f>
        <v>0</v>
      </c>
      <c r="J30" s="224">
        <f>IF(OR(SUM(Ref!$C$144:Ref!$C$150)&lt;&gt;0,SUM(Ref!$C$142:Ref!$C$143)&lt;&gt;SUM(Huidig!$I$54,Huidig!$I$36)),Ref!$C145,0)</f>
        <v>0</v>
      </c>
      <c r="K30" s="225"/>
      <c r="L30" s="79"/>
      <c r="M30" s="79"/>
      <c r="N30" s="79"/>
      <c r="O30" s="79"/>
      <c r="P30" s="79"/>
      <c r="Q30" s="79"/>
      <c r="R30" s="79"/>
      <c r="S30" s="79"/>
    </row>
    <row r="31" spans="1:19" ht="12.75">
      <c r="A31" s="135" t="str">
        <f>I!A146</f>
        <v>M5 energiegebruik</v>
      </c>
      <c r="B31" s="69">
        <f>IF(OR(SUM(I!$C$144:I!$C$150)&lt;&gt;0,SUM(I!$C$142:I!$C$143)&lt;&gt;SUM(Huidig!$I$54,Huidig!$I$36)),I!$C146,0)</f>
        <v>0</v>
      </c>
      <c r="C31" s="69">
        <f>IF(OR(SUM('II'!$C$144:'II'!$C$150)&lt;&gt;0,SUM('II'!$C$142:'II'!$C$143)&lt;&gt;SUM(Huidig!$I$54,Huidig!$I$36)),'II'!$C146,0)</f>
        <v>0</v>
      </c>
      <c r="D31" s="69">
        <f>IF(OR(SUM(III!$C$144:III!$C$150)&lt;&gt;0,SUM(III!$C$142:III!$C$143)&lt;&gt;SUM(Huidig!$I$54,Huidig!$I$36)),III!$C146,0)</f>
        <v>0</v>
      </c>
      <c r="E31" s="69">
        <f>IF(OR(SUM('IV'!$C$144:'IV'!$C$150)&lt;&gt;0,SUM('IV'!$C$142:'IV'!$C$143)&lt;&gt;SUM(Huidig!$I$54,Huidig!$I$36)),'IV'!$C146,0)</f>
        <v>0</v>
      </c>
      <c r="F31" s="69">
        <f>IF(OR(SUM(V!$C$144:V!$C$150)&lt;&gt;0,SUM(V!$C$142:V!$C$143)&lt;&gt;SUM(Huidig!$I$54,Huidig!$I$36)),V!$C146,0)</f>
        <v>0</v>
      </c>
      <c r="G31" s="69">
        <f>IF(OR(SUM(VI!$C$144:VI!$C$150)&lt;&gt;0,SUM(VI!$C$142:VI!$C$143)&lt;&gt;SUM(Huidig!$I$54,Huidig!$I$36)),VI!$C146,0)</f>
        <v>0</v>
      </c>
      <c r="H31" s="69">
        <f>IF(OR(SUM(VII!$C$144:VII!$C$150)&lt;&gt;0,SUM(VII!$C$142:VII!$C$143)&lt;&gt;SUM(Huidig!$I$54,Huidig!$I$36)),VII!$C146,0)</f>
        <v>0</v>
      </c>
      <c r="I31" s="69">
        <f>IF(OR(SUM(0!$C$144:0!$C$150)&lt;&gt;0,SUM(0!$C$142:0!$C$143)&lt;&gt;SUM(Huidig!$I$54,Huidig!$I$36)),0!$C146,0)</f>
        <v>0</v>
      </c>
      <c r="J31" s="224">
        <f>IF(OR(SUM(Ref!$C$144:Ref!$C$150)&lt;&gt;0,SUM(Ref!$C$142:Ref!$C$143)&lt;&gt;SUM(Huidig!$I$54,Huidig!$I$36)),Ref!$C146,0)</f>
        <v>0</v>
      </c>
      <c r="K31" s="225"/>
      <c r="M31" s="79"/>
      <c r="N31" s="79"/>
      <c r="O31" s="79"/>
      <c r="P31" s="79"/>
      <c r="Q31" s="79"/>
      <c r="R31" s="79"/>
      <c r="S31" s="79"/>
    </row>
    <row r="32" spans="1:19" ht="12.75">
      <c r="A32" s="135" t="str">
        <f>I!A147</f>
        <v>M6 luchtemissies</v>
      </c>
      <c r="B32" s="69">
        <f>IF(OR(SUM(I!$C$144:I!$C$150)&lt;&gt;0,SUM(I!$C$142:I!$C$143)&lt;&gt;SUM(Huidig!$I$54,Huidig!$I$36)),I!$C147,0)</f>
        <v>0</v>
      </c>
      <c r="C32" s="69">
        <f>IF(OR(SUM('II'!$C$144:'II'!$C$150)&lt;&gt;0,SUM('II'!$C$142:'II'!$C$143)&lt;&gt;SUM(Huidig!$I$54,Huidig!$I$36)),'II'!$C147,0)</f>
        <v>0</v>
      </c>
      <c r="D32" s="69">
        <f>IF(OR(SUM(III!$C$144:III!$C$150)&lt;&gt;0,SUM(III!$C$142:III!$C$143)&lt;&gt;SUM(Huidig!$I$54,Huidig!$I$36)),III!$C147,0)</f>
        <v>0</v>
      </c>
      <c r="E32" s="69">
        <f>IF(OR(SUM('IV'!$C$144:'IV'!$C$150)&lt;&gt;0,SUM('IV'!$C$142:'IV'!$C$143)&lt;&gt;SUM(Huidig!$I$54,Huidig!$I$36)),'IV'!$C147,0)</f>
        <v>0</v>
      </c>
      <c r="F32" s="69">
        <f>IF(OR(SUM(V!$C$144:V!$C$150)&lt;&gt;0,SUM(V!$C$142:V!$C$143)&lt;&gt;SUM(Huidig!$I$54,Huidig!$I$36)),V!$C147,0)</f>
        <v>0</v>
      </c>
      <c r="G32" s="69">
        <f>IF(OR(SUM(VI!$C$144:VI!$C$150)&lt;&gt;0,SUM(VI!$C$142:VI!$C$143)&lt;&gt;SUM(Huidig!$I$54,Huidig!$I$36)),VI!$C147,0)</f>
        <v>0</v>
      </c>
      <c r="H32" s="69">
        <f>IF(OR(SUM(VII!$C$144:VII!$C$150)&lt;&gt;0,SUM(VII!$C$142:VII!$C$143)&lt;&gt;SUM(Huidig!$I$54,Huidig!$I$36)),VII!$C147,0)</f>
        <v>0</v>
      </c>
      <c r="I32" s="69">
        <f>IF(OR(SUM(0!$C$144:0!$C$150)&lt;&gt;0,SUM(0!$C$142:0!$C$143)&lt;&gt;SUM(Huidig!$I$54,Huidig!$I$36)),0!$C147,0)</f>
        <v>0</v>
      </c>
      <c r="J32" s="224">
        <f>IF(OR(SUM(Ref!$C$144:Ref!$C$150)&lt;&gt;0,SUM(Ref!$C$142:Ref!$C$143)&lt;&gt;SUM(Huidig!$I$54,Huidig!$I$36)),Ref!$C147,0)</f>
        <v>0</v>
      </c>
      <c r="K32" s="225"/>
      <c r="L32" s="79"/>
      <c r="M32" s="79"/>
      <c r="N32" s="79"/>
      <c r="O32" s="79"/>
      <c r="P32" s="79"/>
      <c r="Q32" s="79"/>
      <c r="R32" s="79"/>
      <c r="S32" s="79"/>
    </row>
    <row r="33" spans="1:19" ht="12.75">
      <c r="A33" s="135" t="str">
        <f>I!A148</f>
        <v>M7 opp. wateremissies</v>
      </c>
      <c r="B33" s="69">
        <f>IF(OR(SUM(I!$C$144:I!$C$150)&lt;&gt;0,SUM(I!$C$142:I!$C$143)&lt;&gt;SUM(Huidig!$I$54,Huidig!$I$36)),I!$C148,0)</f>
        <v>0</v>
      </c>
      <c r="C33" s="69">
        <f>IF(OR(SUM('II'!$C$144:'II'!$C$150)&lt;&gt;0,SUM('II'!$C$142:'II'!$C$143)&lt;&gt;SUM(Huidig!$I$54,Huidig!$I$36)),'II'!$C148,0)</f>
        <v>0</v>
      </c>
      <c r="D33" s="69">
        <f>IF(OR(SUM(III!$C$144:III!$C$150)&lt;&gt;0,SUM(III!$C$142:III!$C$143)&lt;&gt;SUM(Huidig!$I$54,Huidig!$I$36)),III!$C148,0)</f>
        <v>0</v>
      </c>
      <c r="E33" s="69">
        <f>IF(OR(SUM('IV'!$C$144:'IV'!$C$150)&lt;&gt;0,SUM('IV'!$C$142:'IV'!$C$143)&lt;&gt;SUM(Huidig!$I$54,Huidig!$I$36)),'IV'!$C148,0)</f>
        <v>0</v>
      </c>
      <c r="F33" s="69">
        <f>IF(OR(SUM(V!$C$144:V!$C$150)&lt;&gt;0,SUM(V!$C$142:V!$C$143)&lt;&gt;SUM(Huidig!$I$54,Huidig!$I$36)),V!$C148,0)</f>
        <v>0</v>
      </c>
      <c r="G33" s="69">
        <f>IF(OR(SUM(VI!$C$144:VI!$C$150)&lt;&gt;0,SUM(VI!$C$142:VI!$C$143)&lt;&gt;SUM(Huidig!$I$54,Huidig!$I$36)),VI!$C148,0)</f>
        <v>0</v>
      </c>
      <c r="H33" s="69">
        <f>IF(OR(SUM(VII!$C$144:VII!$C$150)&lt;&gt;0,SUM(VII!$C$142:VII!$C$143)&lt;&gt;SUM(Huidig!$I$54,Huidig!$I$36)),VII!$C148,0)</f>
        <v>0</v>
      </c>
      <c r="I33" s="69">
        <f>IF(OR(SUM(0!$C$144:0!$C$150)&lt;&gt;0,SUM(0!$C$142:0!$C$143)&lt;&gt;SUM(Huidig!$I$54,Huidig!$I$36)),0!$C148,0)</f>
        <v>0</v>
      </c>
      <c r="J33" s="224">
        <f>IF(OR(SUM(Ref!$C$144:Ref!$C$150)&lt;&gt;0,SUM(Ref!$C$142:Ref!$C$143)&lt;&gt;SUM(Huidig!$I$54,Huidig!$I$36)),Ref!$C148,0)</f>
        <v>0</v>
      </c>
      <c r="K33" s="225"/>
      <c r="L33" s="79"/>
      <c r="M33" s="79"/>
      <c r="N33" s="79"/>
      <c r="O33" s="79"/>
      <c r="P33" s="79"/>
      <c r="Q33" s="79"/>
      <c r="R33" s="79"/>
      <c r="S33" s="79"/>
    </row>
    <row r="34" spans="1:19" ht="12.75">
      <c r="A34" s="135" t="str">
        <f>I!A149</f>
        <v>M8 afvalvorming</v>
      </c>
      <c r="B34" s="69">
        <f>IF(OR(SUM(I!$C$144:I!$C$150)&lt;&gt;0,SUM(I!$C$142:I!$C$143)&lt;&gt;SUM(Huidig!$I$54,Huidig!$I$36)),I!$C149,0)</f>
        <v>0</v>
      </c>
      <c r="C34" s="69">
        <f>IF(OR(SUM('II'!$C$144:'II'!$C$150)&lt;&gt;0,SUM('II'!$C$142:'II'!$C$143)&lt;&gt;SUM(Huidig!$I$54,Huidig!$I$36)),'II'!$C149,0)</f>
        <v>0</v>
      </c>
      <c r="D34" s="69">
        <f>IF(OR(SUM(III!$C$144:III!$C$150)&lt;&gt;0,SUM(III!$C$142:III!$C$143)&lt;&gt;SUM(Huidig!$I$54,Huidig!$I$36)),III!$C149,0)</f>
        <v>0</v>
      </c>
      <c r="E34" s="69">
        <f>IF(OR(SUM('IV'!$C$144:'IV'!$C$150)&lt;&gt;0,SUM('IV'!$C$142:'IV'!$C$143)&lt;&gt;SUM(Huidig!$I$54,Huidig!$I$36)),'IV'!$C149,0)</f>
        <v>0</v>
      </c>
      <c r="F34" s="69">
        <f>IF(OR(SUM(V!$C$144:V!$C$150)&lt;&gt;0,SUM(V!$C$142:V!$C$143)&lt;&gt;SUM(Huidig!$I$54,Huidig!$I$36)),V!$C149,0)</f>
        <v>0</v>
      </c>
      <c r="G34" s="69">
        <f>IF(OR(SUM(VI!$C$144:VI!$C$150)&lt;&gt;0,SUM(VI!$C$142:VI!$C$143)&lt;&gt;SUM(Huidig!$I$54,Huidig!$I$36)),VI!$C149,0)</f>
        <v>0</v>
      </c>
      <c r="H34" s="69">
        <f>IF(OR(SUM(VII!$C$144:VII!$C$150)&lt;&gt;0,SUM(VII!$C$142:VII!$C$143)&lt;&gt;SUM(Huidig!$I$54,Huidig!$I$36)),VII!$C149,0)</f>
        <v>0</v>
      </c>
      <c r="I34" s="69">
        <f>IF(OR(SUM(0!$C$144:0!$C$150)&lt;&gt;0,SUM(0!$C$142:0!$C$143)&lt;&gt;SUM(Huidig!$I$54,Huidig!$I$36)),0!$C149,0)</f>
        <v>0</v>
      </c>
      <c r="J34" s="224">
        <f>IF(OR(SUM(Ref!$C$144:Ref!$C$150)&lt;&gt;0,SUM(Ref!$C$142:Ref!$C$143)&lt;&gt;SUM(Huidig!$I$54,Huidig!$I$36)),Ref!$C149,0)</f>
        <v>0</v>
      </c>
      <c r="K34" s="225"/>
      <c r="L34" s="79"/>
      <c r="M34" s="79"/>
      <c r="N34" s="79"/>
      <c r="O34" s="79"/>
      <c r="P34" s="79"/>
      <c r="Q34" s="79"/>
      <c r="R34" s="79"/>
      <c r="S34" s="79"/>
    </row>
    <row r="35" spans="1:19" ht="12.75">
      <c r="A35" s="135" t="str">
        <f>I!A150</f>
        <v>M9 ruimtebeslag</v>
      </c>
      <c r="B35" s="69">
        <f>IF(OR(SUM(I!$C$144:I!$C$150)&lt;&gt;0,SUM(I!$C$142:I!$C$143)&lt;&gt;SUM(Huidig!$I$54,Huidig!$I$36)),I!$C150,0)</f>
        <v>0</v>
      </c>
      <c r="C35" s="69">
        <f>IF(OR(SUM('II'!$C$144:'II'!$C$150)&lt;&gt;0,SUM('II'!$C$142:'II'!$C$143)&lt;&gt;SUM(Huidig!$I$54,Huidig!$I$36)),'II'!$C150,0)</f>
        <v>0</v>
      </c>
      <c r="D35" s="69">
        <f>IF(OR(SUM(III!$C$144:III!$C$150)&lt;&gt;0,SUM(III!$C$142:III!$C$143)&lt;&gt;SUM(Huidig!$I$54,Huidig!$I$36)),III!$C150,0)</f>
        <v>0</v>
      </c>
      <c r="E35" s="69">
        <f>IF(OR(SUM('IV'!$C$144:'IV'!$C$150)&lt;&gt;0,SUM('IV'!$C$142:'IV'!$C$143)&lt;&gt;SUM(Huidig!$I$54,Huidig!$I$36)),'IV'!$C150,0)</f>
        <v>0</v>
      </c>
      <c r="F35" s="69">
        <f>IF(OR(SUM(V!$C$144:V!$C$150)&lt;&gt;0,SUM(V!$C$142:V!$C$143)&lt;&gt;SUM(Huidig!$I$54,Huidig!$I$36)),V!$C150,0)</f>
        <v>0</v>
      </c>
      <c r="G35" s="69">
        <f>IF(OR(SUM(VI!$C$144:VI!$C$150)&lt;&gt;0,SUM(VI!$C$142:VI!$C$143)&lt;&gt;SUM(Huidig!$I$54,Huidig!$I$36)),VI!$C150,0)</f>
        <v>0</v>
      </c>
      <c r="H35" s="69">
        <f>IF(OR(SUM(VII!$C$144:VII!$C$150)&lt;&gt;0,SUM(VII!$C$142:VII!$C$143)&lt;&gt;SUM(Huidig!$I$54,Huidig!$I$36)),VII!$C150,0)</f>
        <v>0</v>
      </c>
      <c r="I35" s="69">
        <f>IF(OR(SUM(0!$C$144:0!$C$150)&lt;&gt;0,SUM(0!$C$142:0!$C$143)&lt;&gt;SUM(Huidig!$I$54,Huidig!$I$36)),0!$C150,0)</f>
        <v>0</v>
      </c>
      <c r="J35" s="224">
        <f>IF(OR(SUM(Ref!$C$144:Ref!$C$150)&lt;&gt;0,SUM(Ref!$C$142:Ref!$C$143)&lt;&gt;SUM(Huidig!$I$54,Huidig!$I$36)),Ref!$C150,0)</f>
        <v>0</v>
      </c>
      <c r="K35" s="225"/>
      <c r="L35" s="79"/>
      <c r="M35" s="79"/>
      <c r="N35" s="79"/>
      <c r="O35" s="79"/>
      <c r="P35" s="79"/>
      <c r="Q35" s="79"/>
      <c r="R35" s="79"/>
      <c r="S35" s="79"/>
    </row>
    <row r="36" ht="12.75"/>
    <row r="37" ht="12.75"/>
    <row r="38" spans="1:11" s="19" customFormat="1" ht="38.25">
      <c r="A38" s="137" t="s">
        <v>100</v>
      </c>
      <c r="B38" s="132" t="str">
        <f aca="true" t="shared" si="2" ref="B38:K38">B26</f>
        <v>Variant I</v>
      </c>
      <c r="C38" s="132" t="str">
        <f t="shared" si="2"/>
        <v>Variant II</v>
      </c>
      <c r="D38" s="132" t="str">
        <f t="shared" si="2"/>
        <v>Variant III</v>
      </c>
      <c r="E38" s="132" t="str">
        <f t="shared" si="2"/>
        <v>Variant IV</v>
      </c>
      <c r="F38" s="132" t="str">
        <f t="shared" si="2"/>
        <v>Variant V</v>
      </c>
      <c r="G38" s="132" t="str">
        <f t="shared" si="2"/>
        <v>Variant VI</v>
      </c>
      <c r="H38" s="132" t="str">
        <f t="shared" si="2"/>
        <v>Variant VII</v>
      </c>
      <c r="I38" s="132" t="str">
        <f t="shared" si="2"/>
        <v>Nulvariant</v>
      </c>
      <c r="J38" s="222" t="str">
        <f t="shared" si="2"/>
        <v>MF-referentie</v>
      </c>
      <c r="K38" s="223" t="str">
        <f t="shared" si="2"/>
        <v>Theoretisch maximum</v>
      </c>
    </row>
    <row r="39" spans="1:11" ht="12.75">
      <c r="A39" s="135" t="str">
        <f aca="true" t="shared" si="3" ref="A39:A47">A27</f>
        <v>M1 grondkwaliteit</v>
      </c>
      <c r="B39" s="69">
        <f aca="true" t="shared" si="4" ref="B39:K39">B27*$E15/$B15</f>
        <v>0</v>
      </c>
      <c r="C39" s="69">
        <f t="shared" si="4"/>
        <v>0</v>
      </c>
      <c r="D39" s="69">
        <f t="shared" si="4"/>
        <v>0</v>
      </c>
      <c r="E39" s="69">
        <f t="shared" si="4"/>
        <v>0</v>
      </c>
      <c r="F39" s="69">
        <f t="shared" si="4"/>
        <v>0</v>
      </c>
      <c r="G39" s="69">
        <f t="shared" si="4"/>
        <v>0</v>
      </c>
      <c r="H39" s="69">
        <f t="shared" si="4"/>
        <v>0</v>
      </c>
      <c r="I39" s="69">
        <f t="shared" si="4"/>
        <v>0</v>
      </c>
      <c r="J39" s="224">
        <f t="shared" si="4"/>
        <v>0</v>
      </c>
      <c r="K39" s="224">
        <f t="shared" si="4"/>
        <v>0</v>
      </c>
    </row>
    <row r="40" spans="1:11" ht="12.75">
      <c r="A40" s="135" t="str">
        <f t="shared" si="3"/>
        <v>M2 grondwaterkwaliteit</v>
      </c>
      <c r="B40" s="69">
        <f aca="true" t="shared" si="5" ref="B40:K40">B28*$E16/$B16</f>
        <v>0</v>
      </c>
      <c r="C40" s="69">
        <f t="shared" si="5"/>
        <v>0</v>
      </c>
      <c r="D40" s="69">
        <f t="shared" si="5"/>
        <v>0</v>
      </c>
      <c r="E40" s="69">
        <f t="shared" si="5"/>
        <v>0</v>
      </c>
      <c r="F40" s="69">
        <f t="shared" si="5"/>
        <v>0</v>
      </c>
      <c r="G40" s="69">
        <f t="shared" si="5"/>
        <v>0</v>
      </c>
      <c r="H40" s="69">
        <f t="shared" si="5"/>
        <v>0</v>
      </c>
      <c r="I40" s="69">
        <f t="shared" si="5"/>
        <v>0</v>
      </c>
      <c r="J40" s="224">
        <f t="shared" si="5"/>
        <v>0</v>
      </c>
      <c r="K40" s="224">
        <f t="shared" si="5"/>
        <v>0</v>
      </c>
    </row>
    <row r="41" spans="1:11" ht="12.75">
      <c r="A41" s="135" t="str">
        <f t="shared" si="3"/>
        <v>M3 verlies grond</v>
      </c>
      <c r="B41" s="69">
        <f aca="true" t="shared" si="6" ref="B41:J41">-B29*$E17/$B17</f>
        <v>0</v>
      </c>
      <c r="C41" s="69">
        <f t="shared" si="6"/>
        <v>0</v>
      </c>
      <c r="D41" s="69">
        <f t="shared" si="6"/>
        <v>0</v>
      </c>
      <c r="E41" s="69">
        <f t="shared" si="6"/>
        <v>0</v>
      </c>
      <c r="F41" s="69">
        <f t="shared" si="6"/>
        <v>0</v>
      </c>
      <c r="G41" s="69">
        <f t="shared" si="6"/>
        <v>0</v>
      </c>
      <c r="H41" s="69">
        <f t="shared" si="6"/>
        <v>0</v>
      </c>
      <c r="I41" s="69">
        <f t="shared" si="6"/>
        <v>0</v>
      </c>
      <c r="J41" s="224">
        <f t="shared" si="6"/>
        <v>0</v>
      </c>
      <c r="K41" s="224">
        <f aca="true" t="shared" si="7" ref="K41:K47">K29*$E17/$B17</f>
        <v>0</v>
      </c>
    </row>
    <row r="42" spans="1:11" ht="12.75">
      <c r="A42" s="135" t="str">
        <f t="shared" si="3"/>
        <v>M4 verlies grondwater</v>
      </c>
      <c r="B42" s="69">
        <f aca="true" t="shared" si="8" ref="B42:J42">-B30*$E18/$B18</f>
        <v>0</v>
      </c>
      <c r="C42" s="69">
        <f t="shared" si="8"/>
        <v>0</v>
      </c>
      <c r="D42" s="69">
        <f t="shared" si="8"/>
        <v>0</v>
      </c>
      <c r="E42" s="69">
        <f t="shared" si="8"/>
        <v>0</v>
      </c>
      <c r="F42" s="69">
        <f t="shared" si="8"/>
        <v>0</v>
      </c>
      <c r="G42" s="69">
        <f t="shared" si="8"/>
        <v>0</v>
      </c>
      <c r="H42" s="69">
        <f t="shared" si="8"/>
        <v>0</v>
      </c>
      <c r="I42" s="69">
        <f t="shared" si="8"/>
        <v>0</v>
      </c>
      <c r="J42" s="224">
        <f t="shared" si="8"/>
        <v>0</v>
      </c>
      <c r="K42" s="224">
        <f t="shared" si="7"/>
        <v>0</v>
      </c>
    </row>
    <row r="43" spans="1:11" ht="12.75">
      <c r="A43" s="135" t="str">
        <f t="shared" si="3"/>
        <v>M5 energiegebruik</v>
      </c>
      <c r="B43" s="69">
        <f aca="true" t="shared" si="9" ref="B43:J43">-B31*$E19/$B19</f>
        <v>0</v>
      </c>
      <c r="C43" s="69">
        <f t="shared" si="9"/>
        <v>0</v>
      </c>
      <c r="D43" s="69">
        <f t="shared" si="9"/>
        <v>0</v>
      </c>
      <c r="E43" s="69">
        <f t="shared" si="9"/>
        <v>0</v>
      </c>
      <c r="F43" s="69">
        <f t="shared" si="9"/>
        <v>0</v>
      </c>
      <c r="G43" s="69">
        <f t="shared" si="9"/>
        <v>0</v>
      </c>
      <c r="H43" s="69">
        <f t="shared" si="9"/>
        <v>0</v>
      </c>
      <c r="I43" s="69">
        <f t="shared" si="9"/>
        <v>0</v>
      </c>
      <c r="J43" s="224">
        <f t="shared" si="9"/>
        <v>0</v>
      </c>
      <c r="K43" s="224">
        <f t="shared" si="7"/>
        <v>0</v>
      </c>
    </row>
    <row r="44" spans="1:11" ht="12.75">
      <c r="A44" s="135" t="str">
        <f t="shared" si="3"/>
        <v>M6 luchtemissies</v>
      </c>
      <c r="B44" s="69">
        <f aca="true" t="shared" si="10" ref="B44:J44">-B32*$E20/$B20</f>
        <v>0</v>
      </c>
      <c r="C44" s="69">
        <f t="shared" si="10"/>
        <v>0</v>
      </c>
      <c r="D44" s="69">
        <f t="shared" si="10"/>
        <v>0</v>
      </c>
      <c r="E44" s="69">
        <f t="shared" si="10"/>
        <v>0</v>
      </c>
      <c r="F44" s="69">
        <f t="shared" si="10"/>
        <v>0</v>
      </c>
      <c r="G44" s="69">
        <f t="shared" si="10"/>
        <v>0</v>
      </c>
      <c r="H44" s="69">
        <f t="shared" si="10"/>
        <v>0</v>
      </c>
      <c r="I44" s="69">
        <f t="shared" si="10"/>
        <v>0</v>
      </c>
      <c r="J44" s="224">
        <f t="shared" si="10"/>
        <v>0</v>
      </c>
      <c r="K44" s="224">
        <f t="shared" si="7"/>
        <v>0</v>
      </c>
    </row>
    <row r="45" spans="1:11" ht="12.75">
      <c r="A45" s="135" t="str">
        <f t="shared" si="3"/>
        <v>M7 opp. wateremissies</v>
      </c>
      <c r="B45" s="69">
        <f aca="true" t="shared" si="11" ref="B45:J45">-B33*$E21/$B21</f>
        <v>0</v>
      </c>
      <c r="C45" s="69">
        <f t="shared" si="11"/>
        <v>0</v>
      </c>
      <c r="D45" s="69">
        <f t="shared" si="11"/>
        <v>0</v>
      </c>
      <c r="E45" s="69">
        <f t="shared" si="11"/>
        <v>0</v>
      </c>
      <c r="F45" s="69">
        <f t="shared" si="11"/>
        <v>0</v>
      </c>
      <c r="G45" s="69">
        <f t="shared" si="11"/>
        <v>0</v>
      </c>
      <c r="H45" s="69">
        <f t="shared" si="11"/>
        <v>0</v>
      </c>
      <c r="I45" s="69">
        <f t="shared" si="11"/>
        <v>0</v>
      </c>
      <c r="J45" s="224">
        <f t="shared" si="11"/>
        <v>0</v>
      </c>
      <c r="K45" s="224">
        <f t="shared" si="7"/>
        <v>0</v>
      </c>
    </row>
    <row r="46" spans="1:11" ht="12.75">
      <c r="A46" s="135" t="str">
        <f t="shared" si="3"/>
        <v>M8 afvalvorming</v>
      </c>
      <c r="B46" s="69">
        <f aca="true" t="shared" si="12" ref="B46:J46">-B34*$E22/$B22</f>
        <v>0</v>
      </c>
      <c r="C46" s="69">
        <f t="shared" si="12"/>
        <v>0</v>
      </c>
      <c r="D46" s="69">
        <f t="shared" si="12"/>
        <v>0</v>
      </c>
      <c r="E46" s="69">
        <f t="shared" si="12"/>
        <v>0</v>
      </c>
      <c r="F46" s="69">
        <f t="shared" si="12"/>
        <v>0</v>
      </c>
      <c r="G46" s="69">
        <f t="shared" si="12"/>
        <v>0</v>
      </c>
      <c r="H46" s="69">
        <f t="shared" si="12"/>
        <v>0</v>
      </c>
      <c r="I46" s="69">
        <f t="shared" si="12"/>
        <v>0</v>
      </c>
      <c r="J46" s="224">
        <f t="shared" si="12"/>
        <v>0</v>
      </c>
      <c r="K46" s="224">
        <f t="shared" si="7"/>
        <v>0</v>
      </c>
    </row>
    <row r="47" spans="1:19" ht="12.75">
      <c r="A47" s="135" t="str">
        <f t="shared" si="3"/>
        <v>M9 ruimtebeslag</v>
      </c>
      <c r="B47" s="69">
        <f aca="true" t="shared" si="13" ref="B47:J47">-B35*$E23/$B23</f>
        <v>0</v>
      </c>
      <c r="C47" s="69">
        <f t="shared" si="13"/>
        <v>0</v>
      </c>
      <c r="D47" s="69">
        <f t="shared" si="13"/>
        <v>0</v>
      </c>
      <c r="E47" s="69">
        <f t="shared" si="13"/>
        <v>0</v>
      </c>
      <c r="F47" s="69">
        <f t="shared" si="13"/>
        <v>0</v>
      </c>
      <c r="G47" s="69">
        <f t="shared" si="13"/>
        <v>0</v>
      </c>
      <c r="H47" s="69">
        <f t="shared" si="13"/>
        <v>0</v>
      </c>
      <c r="I47" s="69">
        <f t="shared" si="13"/>
        <v>0</v>
      </c>
      <c r="J47" s="224">
        <f t="shared" si="13"/>
        <v>0</v>
      </c>
      <c r="K47" s="224">
        <f t="shared" si="7"/>
        <v>0</v>
      </c>
      <c r="L47" s="102"/>
      <c r="M47" s="102"/>
      <c r="N47" s="102"/>
      <c r="O47" s="102"/>
      <c r="P47" s="102"/>
      <c r="Q47" s="102"/>
      <c r="R47" s="102"/>
      <c r="S47" s="102"/>
    </row>
    <row r="48" spans="1:19" ht="12.75">
      <c r="A48" s="136" t="s">
        <v>101</v>
      </c>
      <c r="B48" s="69">
        <f aca="true" t="shared" si="14" ref="B48:I48">SUM(B39:B47)</f>
        <v>0</v>
      </c>
      <c r="C48" s="69">
        <f t="shared" si="14"/>
        <v>0</v>
      </c>
      <c r="D48" s="69">
        <f t="shared" si="14"/>
        <v>0</v>
      </c>
      <c r="E48" s="69">
        <f t="shared" si="14"/>
        <v>0</v>
      </c>
      <c r="F48" s="69">
        <f t="shared" si="14"/>
        <v>0</v>
      </c>
      <c r="G48" s="69">
        <f t="shared" si="14"/>
        <v>0</v>
      </c>
      <c r="H48" s="69">
        <f t="shared" si="14"/>
        <v>0</v>
      </c>
      <c r="I48" s="69">
        <f t="shared" si="14"/>
        <v>0</v>
      </c>
      <c r="J48" s="224"/>
      <c r="K48" s="225"/>
      <c r="L48" s="102"/>
      <c r="M48" s="102"/>
      <c r="N48" s="102"/>
      <c r="O48" s="102"/>
      <c r="P48" s="102"/>
      <c r="Q48" s="102"/>
      <c r="R48" s="102"/>
      <c r="S48" s="102"/>
    </row>
    <row r="49" spans="1:19" ht="12.75">
      <c r="A49" s="136" t="s">
        <v>314</v>
      </c>
      <c r="B49" s="69">
        <f>K49</f>
        <v>0</v>
      </c>
      <c r="C49" s="69">
        <f aca="true" t="shared" si="15" ref="C49:I50">B49</f>
        <v>0</v>
      </c>
      <c r="D49" s="69">
        <f t="shared" si="15"/>
        <v>0</v>
      </c>
      <c r="E49" s="69">
        <f t="shared" si="15"/>
        <v>0</v>
      </c>
      <c r="F49" s="69">
        <f t="shared" si="15"/>
        <v>0</v>
      </c>
      <c r="G49" s="69">
        <f t="shared" si="15"/>
        <v>0</v>
      </c>
      <c r="H49" s="69">
        <f t="shared" si="15"/>
        <v>0</v>
      </c>
      <c r="I49" s="69">
        <f t="shared" si="15"/>
        <v>0</v>
      </c>
      <c r="J49" s="224">
        <f>H49</f>
        <v>0</v>
      </c>
      <c r="K49" s="224">
        <f>SUM(K39:K47)</f>
        <v>0</v>
      </c>
      <c r="L49" s="102"/>
      <c r="M49" s="102"/>
      <c r="N49" s="102"/>
      <c r="O49" s="102"/>
      <c r="P49" s="102"/>
      <c r="Q49" s="102"/>
      <c r="R49" s="102"/>
      <c r="S49" s="102"/>
    </row>
    <row r="50" spans="1:19" ht="12" customHeight="1">
      <c r="A50" s="136" t="s">
        <v>398</v>
      </c>
      <c r="B50" s="69">
        <f>J50</f>
        <v>0</v>
      </c>
      <c r="C50" s="69">
        <f t="shared" si="15"/>
        <v>0</v>
      </c>
      <c r="D50" s="69">
        <f t="shared" si="15"/>
        <v>0</v>
      </c>
      <c r="E50" s="69">
        <f t="shared" si="15"/>
        <v>0</v>
      </c>
      <c r="F50" s="69">
        <f t="shared" si="15"/>
        <v>0</v>
      </c>
      <c r="G50" s="69">
        <f t="shared" si="15"/>
        <v>0</v>
      </c>
      <c r="H50" s="69">
        <f t="shared" si="15"/>
        <v>0</v>
      </c>
      <c r="I50" s="69">
        <f t="shared" si="15"/>
        <v>0</v>
      </c>
      <c r="J50" s="224">
        <f>SUM(J39:J47)</f>
        <v>0</v>
      </c>
      <c r="K50" s="224">
        <f>J50</f>
        <v>0</v>
      </c>
      <c r="L50" s="102"/>
      <c r="M50" s="102"/>
      <c r="N50" s="102"/>
      <c r="O50" s="102"/>
      <c r="P50" s="102"/>
      <c r="Q50" s="102"/>
      <c r="R50" s="102"/>
      <c r="S50" s="102"/>
    </row>
    <row r="51" ht="18" customHeight="1"/>
    <row r="52" ht="12.75">
      <c r="A52" s="45" t="str">
        <f>A8</f>
        <v>Grafiek gewogen prestaties</v>
      </c>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c r="A71" s="45" t="str">
        <f>A9</f>
        <v>Grafiek bijdrage elk aspect</v>
      </c>
    </row>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spans="2:9" s="228" customFormat="1" ht="12.75">
      <c r="B94" s="228" t="str">
        <f aca="true" t="shared" si="16" ref="B94:I94">IF(AND(B27=0,B28=0,B48=0),"*&amp;Hide&amp;*",1)</f>
        <v>*&amp;Hide&amp;*</v>
      </c>
      <c r="C94" s="228" t="str">
        <f t="shared" si="16"/>
        <v>*&amp;Hide&amp;*</v>
      </c>
      <c r="D94" s="228" t="str">
        <f t="shared" si="16"/>
        <v>*&amp;Hide&amp;*</v>
      </c>
      <c r="E94" s="228" t="str">
        <f t="shared" si="16"/>
        <v>*&amp;Hide&amp;*</v>
      </c>
      <c r="F94" s="228" t="str">
        <f t="shared" si="16"/>
        <v>*&amp;Hide&amp;*</v>
      </c>
      <c r="G94" s="228" t="str">
        <f t="shared" si="16"/>
        <v>*&amp;Hide&amp;*</v>
      </c>
      <c r="H94" s="228" t="str">
        <f t="shared" si="16"/>
        <v>*&amp;Hide&amp;*</v>
      </c>
      <c r="I94" s="228" t="str">
        <f t="shared" si="16"/>
        <v>*&amp;Hide&amp;*</v>
      </c>
    </row>
    <row r="95" s="228" customFormat="1" ht="12.75">
      <c r="B95" s="228">
        <f>8-SUM(B94:I94)</f>
        <v>8</v>
      </c>
    </row>
  </sheetData>
  <sheetProtection sheet="1" scenarios="1"/>
  <printOptions/>
  <pageMargins left="0.75" right="0.75" top="1" bottom="1" header="0.5" footer="0.5"/>
  <pageSetup fitToHeight="0" fitToWidth="1" horizontalDpi="300" verticalDpi="300" orientation="portrait" paperSize="9" scale="92" r:id="rId4"/>
  <headerFooter alignWithMargins="0">
    <oddHeader>&amp;C&amp;F</oddHeader>
    <oddFooter>&amp;CMilieuverdienste in RMK</oddFooter>
  </headerFooter>
  <rowBreaks count="1" manualBreakCount="1">
    <brk id="51" max="8" man="1"/>
  </rowBreaks>
  <drawing r:id="rId3"/>
  <legacyDrawing r:id="rId2"/>
</worksheet>
</file>

<file path=xl/worksheets/sheet15.xml><?xml version="1.0" encoding="utf-8"?>
<worksheet xmlns="http://schemas.openxmlformats.org/spreadsheetml/2006/main" xmlns:r="http://schemas.openxmlformats.org/officeDocument/2006/relationships">
  <sheetPr codeName="Sheet8">
    <pageSetUpPr fitToPage="1"/>
  </sheetPr>
  <dimension ref="A1:Z78"/>
  <sheetViews>
    <sheetView showGridLines="0" zoomScale="90" zoomScaleNormal="90" workbookViewId="0" topLeftCell="A1">
      <selection activeCell="A2" sqref="A2"/>
    </sheetView>
  </sheetViews>
  <sheetFormatPr defaultColWidth="9.140625" defaultRowHeight="12.75"/>
  <cols>
    <col min="1" max="1" width="31.140625" style="20" customWidth="1"/>
    <col min="2" max="2" width="10.421875" style="20" customWidth="1"/>
    <col min="3" max="9" width="9.7109375" style="20" customWidth="1"/>
    <col min="10" max="10" width="17.8515625" style="206" hidden="1" customWidth="1"/>
    <col min="11" max="11" width="19.421875" style="206" hidden="1" customWidth="1"/>
    <col min="12" max="19" width="9.7109375" style="206" hidden="1" customWidth="1"/>
    <col min="20" max="26" width="0" style="206" hidden="1" customWidth="1"/>
    <col min="27" max="27" width="0" style="20" hidden="1" customWidth="1"/>
    <col min="28" max="16384" width="8.8515625" style="20" customWidth="1"/>
  </cols>
  <sheetData>
    <row r="1" ht="20.25">
      <c r="A1" s="104" t="s">
        <v>309</v>
      </c>
    </row>
    <row r="2" ht="12.75"/>
    <row r="3" ht="12.75">
      <c r="A3" s="62" t="str">
        <f>Result!A3</f>
        <v>Terug naar inhoud:</v>
      </c>
    </row>
    <row r="4" ht="12.75">
      <c r="A4" s="107" t="s">
        <v>310</v>
      </c>
    </row>
    <row r="5" ht="12.75">
      <c r="A5" s="105" t="s">
        <v>102</v>
      </c>
    </row>
    <row r="6" ht="12.75">
      <c r="A6" s="20" t="s">
        <v>103</v>
      </c>
    </row>
    <row r="7" ht="12.75">
      <c r="A7" s="42" t="s">
        <v>359</v>
      </c>
    </row>
    <row r="8" ht="12.75"/>
    <row r="9" ht="12.75"/>
    <row r="10" spans="10:19" ht="12.75">
      <c r="J10" s="206" t="s">
        <v>306</v>
      </c>
      <c r="S10" s="206" t="s">
        <v>305</v>
      </c>
    </row>
    <row r="11" spans="1:26" ht="12.75">
      <c r="A11" s="108" t="str">
        <f>A5</f>
        <v>Onzekerheid in score</v>
      </c>
      <c r="B11" s="68" t="str">
        <f>Result!C26</f>
        <v>Variant I</v>
      </c>
      <c r="C11" s="68" t="str">
        <f>Result!D26</f>
        <v>Variant II</v>
      </c>
      <c r="D11" s="68" t="str">
        <f>Result!E26</f>
        <v>Variant III</v>
      </c>
      <c r="E11" s="68" t="str">
        <f>Result!F26</f>
        <v>Variant IV</v>
      </c>
      <c r="F11" s="68" t="str">
        <f>Result!G26</f>
        <v>Variant V</v>
      </c>
      <c r="G11" s="68" t="str">
        <f>Result!H26</f>
        <v>Variant VI</v>
      </c>
      <c r="H11" s="68" t="str">
        <f>Result!I26</f>
        <v>Variant VII</v>
      </c>
      <c r="I11" s="68" t="str">
        <f>Result!B26</f>
        <v>Nulvariant</v>
      </c>
      <c r="J11" s="207" t="str">
        <f aca="true" t="shared" si="0" ref="J11:Q11">B11</f>
        <v>Variant I</v>
      </c>
      <c r="K11" s="207" t="str">
        <f t="shared" si="0"/>
        <v>Variant II</v>
      </c>
      <c r="L11" s="207" t="str">
        <f t="shared" si="0"/>
        <v>Variant III</v>
      </c>
      <c r="M11" s="207" t="str">
        <f t="shared" si="0"/>
        <v>Variant IV</v>
      </c>
      <c r="N11" s="207" t="str">
        <f t="shared" si="0"/>
        <v>Variant V</v>
      </c>
      <c r="O11" s="207" t="str">
        <f t="shared" si="0"/>
        <v>Variant VI</v>
      </c>
      <c r="P11" s="207" t="str">
        <f t="shared" si="0"/>
        <v>Variant VII</v>
      </c>
      <c r="Q11" s="207" t="str">
        <f t="shared" si="0"/>
        <v>Nulvariant</v>
      </c>
      <c r="R11" s="208"/>
      <c r="S11" s="207" t="str">
        <f aca="true" t="shared" si="1" ref="S11:Z11">B11</f>
        <v>Variant I</v>
      </c>
      <c r="T11" s="207" t="str">
        <f t="shared" si="1"/>
        <v>Variant II</v>
      </c>
      <c r="U11" s="207" t="str">
        <f t="shared" si="1"/>
        <v>Variant III</v>
      </c>
      <c r="V11" s="207" t="str">
        <f t="shared" si="1"/>
        <v>Variant IV</v>
      </c>
      <c r="W11" s="207" t="str">
        <f t="shared" si="1"/>
        <v>Variant V</v>
      </c>
      <c r="X11" s="207" t="str">
        <f t="shared" si="1"/>
        <v>Variant VI</v>
      </c>
      <c r="Y11" s="207" t="str">
        <f t="shared" si="1"/>
        <v>Variant VII</v>
      </c>
      <c r="Z11" s="207" t="str">
        <f t="shared" si="1"/>
        <v>Nulvariant</v>
      </c>
    </row>
    <row r="12" spans="1:26" ht="12.75">
      <c r="A12" s="68" t="str">
        <f>Result!A27</f>
        <v>M1 grondkwaliteit</v>
      </c>
      <c r="B12" s="109">
        <v>0.1</v>
      </c>
      <c r="C12" s="109">
        <v>0.1</v>
      </c>
      <c r="D12" s="109">
        <f aca="true" t="shared" si="2" ref="D12:I12">0.1</f>
        <v>0.1</v>
      </c>
      <c r="E12" s="109">
        <v>0.1</v>
      </c>
      <c r="F12" s="109">
        <f t="shared" si="2"/>
        <v>0.1</v>
      </c>
      <c r="G12" s="109">
        <f t="shared" si="2"/>
        <v>0.1</v>
      </c>
      <c r="H12" s="109">
        <f t="shared" si="2"/>
        <v>0.1</v>
      </c>
      <c r="I12" s="109">
        <f t="shared" si="2"/>
        <v>0.1</v>
      </c>
      <c r="J12" s="206">
        <f>Result!C39*Stat!B12</f>
        <v>0</v>
      </c>
      <c r="K12" s="206">
        <f>Result!D39*Stat!C12</f>
        <v>0</v>
      </c>
      <c r="L12" s="206">
        <f>Result!E39*Stat!D12</f>
        <v>0</v>
      </c>
      <c r="M12" s="206">
        <f>Result!F39*Stat!E12</f>
        <v>0</v>
      </c>
      <c r="N12" s="206">
        <f>Result!G39*Stat!F12</f>
        <v>0</v>
      </c>
      <c r="O12" s="206">
        <f>Result!H39*Stat!G12</f>
        <v>0</v>
      </c>
      <c r="P12" s="206">
        <f>Result!I39*Stat!H12</f>
        <v>0</v>
      </c>
      <c r="Q12" s="206">
        <f>Result!J39*Stat!I12</f>
        <v>0</v>
      </c>
      <c r="R12" s="151"/>
      <c r="S12" s="151">
        <f aca="true" t="shared" si="3" ref="S12:S20">B12+1</f>
        <v>1.1</v>
      </c>
      <c r="T12" s="151">
        <f aca="true" t="shared" si="4" ref="T12:T20">C12+1</f>
        <v>1.1</v>
      </c>
      <c r="U12" s="151">
        <f aca="true" t="shared" si="5" ref="U12:U20">D12+1</f>
        <v>1.1</v>
      </c>
      <c r="V12" s="151">
        <f aca="true" t="shared" si="6" ref="V12:V20">E12+1</f>
        <v>1.1</v>
      </c>
      <c r="W12" s="151">
        <f aca="true" t="shared" si="7" ref="W12:W20">F12+1</f>
        <v>1.1</v>
      </c>
      <c r="X12" s="151">
        <f aca="true" t="shared" si="8" ref="X12:X20">G12+1</f>
        <v>1.1</v>
      </c>
      <c r="Y12" s="151">
        <f aca="true" t="shared" si="9" ref="Y12:Y20">H12+1</f>
        <v>1.1</v>
      </c>
      <c r="Z12" s="151">
        <f aca="true" t="shared" si="10" ref="Z12:Z20">I12+1</f>
        <v>1.1</v>
      </c>
    </row>
    <row r="13" spans="1:26" ht="12.75">
      <c r="A13" s="68" t="str">
        <f>Result!A28</f>
        <v>M2 grondwaterkwaliteit</v>
      </c>
      <c r="B13" s="109">
        <f aca="true" t="shared" si="11" ref="B13:I13">B12</f>
        <v>0.1</v>
      </c>
      <c r="C13" s="109">
        <f t="shared" si="11"/>
        <v>0.1</v>
      </c>
      <c r="D13" s="109">
        <f t="shared" si="11"/>
        <v>0.1</v>
      </c>
      <c r="E13" s="109">
        <f t="shared" si="11"/>
        <v>0.1</v>
      </c>
      <c r="F13" s="109">
        <f t="shared" si="11"/>
        <v>0.1</v>
      </c>
      <c r="G13" s="109">
        <f t="shared" si="11"/>
        <v>0.1</v>
      </c>
      <c r="H13" s="109">
        <f t="shared" si="11"/>
        <v>0.1</v>
      </c>
      <c r="I13" s="109">
        <f t="shared" si="11"/>
        <v>0.1</v>
      </c>
      <c r="J13" s="206">
        <f>Result!C40*Stat!B13</f>
        <v>0</v>
      </c>
      <c r="K13" s="206">
        <f>Result!D40*Stat!C13</f>
        <v>0</v>
      </c>
      <c r="L13" s="206">
        <f>Result!E40*Stat!D13</f>
        <v>0</v>
      </c>
      <c r="M13" s="206">
        <f>Result!F40*Stat!E13</f>
        <v>0</v>
      </c>
      <c r="N13" s="206">
        <f>Result!G40*Stat!F13</f>
        <v>0</v>
      </c>
      <c r="O13" s="206">
        <f>Result!H40*Stat!G13</f>
        <v>0</v>
      </c>
      <c r="P13" s="206">
        <f>Result!I40*Stat!H13</f>
        <v>0</v>
      </c>
      <c r="Q13" s="206">
        <f>Result!J40*Stat!I13</f>
        <v>0</v>
      </c>
      <c r="R13" s="151"/>
      <c r="S13" s="151">
        <f t="shared" si="3"/>
        <v>1.1</v>
      </c>
      <c r="T13" s="151">
        <f t="shared" si="4"/>
        <v>1.1</v>
      </c>
      <c r="U13" s="151">
        <f t="shared" si="5"/>
        <v>1.1</v>
      </c>
      <c r="V13" s="151">
        <f t="shared" si="6"/>
        <v>1.1</v>
      </c>
      <c r="W13" s="151">
        <f t="shared" si="7"/>
        <v>1.1</v>
      </c>
      <c r="X13" s="151">
        <f t="shared" si="8"/>
        <v>1.1</v>
      </c>
      <c r="Y13" s="151">
        <f t="shared" si="9"/>
        <v>1.1</v>
      </c>
      <c r="Z13" s="151">
        <f t="shared" si="10"/>
        <v>1.1</v>
      </c>
    </row>
    <row r="14" spans="1:26" ht="12.75">
      <c r="A14" s="68" t="str">
        <f>Result!A29</f>
        <v>M3 verlies grond</v>
      </c>
      <c r="B14" s="109">
        <f aca="true" t="shared" si="12" ref="B14:B20">B13</f>
        <v>0.1</v>
      </c>
      <c r="C14" s="109">
        <f aca="true" t="shared" si="13" ref="C14:C20">C13</f>
        <v>0.1</v>
      </c>
      <c r="D14" s="109">
        <f aca="true" t="shared" si="14" ref="D14:D20">D13</f>
        <v>0.1</v>
      </c>
      <c r="E14" s="109">
        <f aca="true" t="shared" si="15" ref="E14:E20">E13</f>
        <v>0.1</v>
      </c>
      <c r="F14" s="109">
        <f aca="true" t="shared" si="16" ref="F14:F20">F13</f>
        <v>0.1</v>
      </c>
      <c r="G14" s="109">
        <f aca="true" t="shared" si="17" ref="G14:G20">G13</f>
        <v>0.1</v>
      </c>
      <c r="H14" s="109">
        <f aca="true" t="shared" si="18" ref="H14:H20">H13</f>
        <v>0.1</v>
      </c>
      <c r="I14" s="109">
        <f aca="true" t="shared" si="19" ref="I14:I20">I13</f>
        <v>0.1</v>
      </c>
      <c r="J14" s="206">
        <f>Result!C41*Stat!B14</f>
        <v>0</v>
      </c>
      <c r="K14" s="206">
        <f>Result!D41*Stat!C14</f>
        <v>0</v>
      </c>
      <c r="L14" s="206">
        <f>Result!E41*Stat!D14</f>
        <v>0</v>
      </c>
      <c r="M14" s="206">
        <f>Result!F41*Stat!E14</f>
        <v>0</v>
      </c>
      <c r="N14" s="206">
        <f>Result!G41*Stat!F14</f>
        <v>0</v>
      </c>
      <c r="O14" s="206">
        <f>Result!H41*Stat!G14</f>
        <v>0</v>
      </c>
      <c r="P14" s="206">
        <f>Result!I41*Stat!H14</f>
        <v>0</v>
      </c>
      <c r="Q14" s="206">
        <f>Result!J41*Stat!I14</f>
        <v>0</v>
      </c>
      <c r="R14" s="151"/>
      <c r="S14" s="151">
        <f t="shared" si="3"/>
        <v>1.1</v>
      </c>
      <c r="T14" s="151">
        <f t="shared" si="4"/>
        <v>1.1</v>
      </c>
      <c r="U14" s="151">
        <f t="shared" si="5"/>
        <v>1.1</v>
      </c>
      <c r="V14" s="151">
        <f t="shared" si="6"/>
        <v>1.1</v>
      </c>
      <c r="W14" s="151">
        <f t="shared" si="7"/>
        <v>1.1</v>
      </c>
      <c r="X14" s="151">
        <f t="shared" si="8"/>
        <v>1.1</v>
      </c>
      <c r="Y14" s="151">
        <f t="shared" si="9"/>
        <v>1.1</v>
      </c>
      <c r="Z14" s="151">
        <f t="shared" si="10"/>
        <v>1.1</v>
      </c>
    </row>
    <row r="15" spans="1:26" ht="12.75">
      <c r="A15" s="68" t="str">
        <f>Result!A30</f>
        <v>M4 verlies grondwater</v>
      </c>
      <c r="B15" s="109">
        <f t="shared" si="12"/>
        <v>0.1</v>
      </c>
      <c r="C15" s="109">
        <f t="shared" si="13"/>
        <v>0.1</v>
      </c>
      <c r="D15" s="109">
        <f t="shared" si="14"/>
        <v>0.1</v>
      </c>
      <c r="E15" s="109">
        <f t="shared" si="15"/>
        <v>0.1</v>
      </c>
      <c r="F15" s="109">
        <f t="shared" si="16"/>
        <v>0.1</v>
      </c>
      <c r="G15" s="109">
        <f t="shared" si="17"/>
        <v>0.1</v>
      </c>
      <c r="H15" s="109">
        <f t="shared" si="18"/>
        <v>0.1</v>
      </c>
      <c r="I15" s="109">
        <f t="shared" si="19"/>
        <v>0.1</v>
      </c>
      <c r="J15" s="206">
        <f>Result!C42*Stat!B15</f>
        <v>0</v>
      </c>
      <c r="K15" s="206">
        <f>Result!D42*Stat!C15</f>
        <v>0</v>
      </c>
      <c r="L15" s="206">
        <f>Result!E42*Stat!D15</f>
        <v>0</v>
      </c>
      <c r="M15" s="206">
        <f>Result!F42*Stat!E15</f>
        <v>0</v>
      </c>
      <c r="N15" s="206">
        <f>Result!G42*Stat!F15</f>
        <v>0</v>
      </c>
      <c r="O15" s="206">
        <f>Result!H42*Stat!G15</f>
        <v>0</v>
      </c>
      <c r="P15" s="206">
        <f>Result!I42*Stat!H15</f>
        <v>0</v>
      </c>
      <c r="Q15" s="206">
        <f>Result!J42*Stat!I15</f>
        <v>0</v>
      </c>
      <c r="R15" s="151"/>
      <c r="S15" s="151">
        <f t="shared" si="3"/>
        <v>1.1</v>
      </c>
      <c r="T15" s="151">
        <f t="shared" si="4"/>
        <v>1.1</v>
      </c>
      <c r="U15" s="151">
        <f t="shared" si="5"/>
        <v>1.1</v>
      </c>
      <c r="V15" s="151">
        <f t="shared" si="6"/>
        <v>1.1</v>
      </c>
      <c r="W15" s="151">
        <f t="shared" si="7"/>
        <v>1.1</v>
      </c>
      <c r="X15" s="151">
        <f t="shared" si="8"/>
        <v>1.1</v>
      </c>
      <c r="Y15" s="151">
        <f t="shared" si="9"/>
        <v>1.1</v>
      </c>
      <c r="Z15" s="151">
        <f t="shared" si="10"/>
        <v>1.1</v>
      </c>
    </row>
    <row r="16" spans="1:26" ht="12.75">
      <c r="A16" s="68" t="str">
        <f>Result!A31</f>
        <v>M5 energiegebruik</v>
      </c>
      <c r="B16" s="109">
        <f t="shared" si="12"/>
        <v>0.1</v>
      </c>
      <c r="C16" s="109">
        <f t="shared" si="13"/>
        <v>0.1</v>
      </c>
      <c r="D16" s="109">
        <f t="shared" si="14"/>
        <v>0.1</v>
      </c>
      <c r="E16" s="109">
        <f t="shared" si="15"/>
        <v>0.1</v>
      </c>
      <c r="F16" s="109">
        <f t="shared" si="16"/>
        <v>0.1</v>
      </c>
      <c r="G16" s="109">
        <f t="shared" si="17"/>
        <v>0.1</v>
      </c>
      <c r="H16" s="109">
        <f t="shared" si="18"/>
        <v>0.1</v>
      </c>
      <c r="I16" s="109">
        <f t="shared" si="19"/>
        <v>0.1</v>
      </c>
      <c r="J16" s="206">
        <f>Result!C43*Stat!B16</f>
        <v>0</v>
      </c>
      <c r="K16" s="206">
        <f>Result!D43*Stat!C16</f>
        <v>0</v>
      </c>
      <c r="L16" s="206">
        <f>Result!E43*Stat!D16</f>
        <v>0</v>
      </c>
      <c r="M16" s="206">
        <f>Result!F43*Stat!E16</f>
        <v>0</v>
      </c>
      <c r="N16" s="206">
        <f>Result!G43*Stat!F16</f>
        <v>0</v>
      </c>
      <c r="O16" s="206">
        <f>Result!H43*Stat!G16</f>
        <v>0</v>
      </c>
      <c r="P16" s="206">
        <f>Result!I43*Stat!H16</f>
        <v>0</v>
      </c>
      <c r="Q16" s="206">
        <f>Result!J43*Stat!I16</f>
        <v>0</v>
      </c>
      <c r="R16" s="151"/>
      <c r="S16" s="151">
        <f t="shared" si="3"/>
        <v>1.1</v>
      </c>
      <c r="T16" s="151">
        <f t="shared" si="4"/>
        <v>1.1</v>
      </c>
      <c r="U16" s="151">
        <f t="shared" si="5"/>
        <v>1.1</v>
      </c>
      <c r="V16" s="151">
        <f t="shared" si="6"/>
        <v>1.1</v>
      </c>
      <c r="W16" s="151">
        <f t="shared" si="7"/>
        <v>1.1</v>
      </c>
      <c r="X16" s="151">
        <f t="shared" si="8"/>
        <v>1.1</v>
      </c>
      <c r="Y16" s="151">
        <f t="shared" si="9"/>
        <v>1.1</v>
      </c>
      <c r="Z16" s="151">
        <f t="shared" si="10"/>
        <v>1.1</v>
      </c>
    </row>
    <row r="17" spans="1:26" ht="12.75">
      <c r="A17" s="68" t="str">
        <f>Result!A32</f>
        <v>M6 luchtemissies</v>
      </c>
      <c r="B17" s="109">
        <f t="shared" si="12"/>
        <v>0.1</v>
      </c>
      <c r="C17" s="109">
        <f t="shared" si="13"/>
        <v>0.1</v>
      </c>
      <c r="D17" s="109">
        <f t="shared" si="14"/>
        <v>0.1</v>
      </c>
      <c r="E17" s="109">
        <f t="shared" si="15"/>
        <v>0.1</v>
      </c>
      <c r="F17" s="109">
        <f t="shared" si="16"/>
        <v>0.1</v>
      </c>
      <c r="G17" s="109">
        <f t="shared" si="17"/>
        <v>0.1</v>
      </c>
      <c r="H17" s="109">
        <f t="shared" si="18"/>
        <v>0.1</v>
      </c>
      <c r="I17" s="109">
        <f t="shared" si="19"/>
        <v>0.1</v>
      </c>
      <c r="J17" s="206">
        <f>Result!C44*Stat!B17</f>
        <v>0</v>
      </c>
      <c r="K17" s="206">
        <f>Result!D44*Stat!C17</f>
        <v>0</v>
      </c>
      <c r="L17" s="206">
        <f>Result!E44*Stat!D17</f>
        <v>0</v>
      </c>
      <c r="M17" s="206">
        <f>Result!F44*Stat!E17</f>
        <v>0</v>
      </c>
      <c r="N17" s="206">
        <f>Result!G44*Stat!F17</f>
        <v>0</v>
      </c>
      <c r="O17" s="206">
        <f>Result!H44*Stat!G17</f>
        <v>0</v>
      </c>
      <c r="P17" s="206">
        <f>Result!I44*Stat!H17</f>
        <v>0</v>
      </c>
      <c r="Q17" s="206">
        <f>Result!J44*Stat!I17</f>
        <v>0</v>
      </c>
      <c r="R17" s="151"/>
      <c r="S17" s="151">
        <f t="shared" si="3"/>
        <v>1.1</v>
      </c>
      <c r="T17" s="151">
        <f t="shared" si="4"/>
        <v>1.1</v>
      </c>
      <c r="U17" s="151">
        <f t="shared" si="5"/>
        <v>1.1</v>
      </c>
      <c r="V17" s="151">
        <f t="shared" si="6"/>
        <v>1.1</v>
      </c>
      <c r="W17" s="151">
        <f t="shared" si="7"/>
        <v>1.1</v>
      </c>
      <c r="X17" s="151">
        <f t="shared" si="8"/>
        <v>1.1</v>
      </c>
      <c r="Y17" s="151">
        <f t="shared" si="9"/>
        <v>1.1</v>
      </c>
      <c r="Z17" s="151">
        <f t="shared" si="10"/>
        <v>1.1</v>
      </c>
    </row>
    <row r="18" spans="1:26" ht="12.75">
      <c r="A18" s="68" t="str">
        <f>Result!A33</f>
        <v>M7 opp. wateremissies</v>
      </c>
      <c r="B18" s="109">
        <f t="shared" si="12"/>
        <v>0.1</v>
      </c>
      <c r="C18" s="109">
        <f t="shared" si="13"/>
        <v>0.1</v>
      </c>
      <c r="D18" s="109">
        <f t="shared" si="14"/>
        <v>0.1</v>
      </c>
      <c r="E18" s="109">
        <f t="shared" si="15"/>
        <v>0.1</v>
      </c>
      <c r="F18" s="109">
        <f t="shared" si="16"/>
        <v>0.1</v>
      </c>
      <c r="G18" s="109">
        <f t="shared" si="17"/>
        <v>0.1</v>
      </c>
      <c r="H18" s="109">
        <f t="shared" si="18"/>
        <v>0.1</v>
      </c>
      <c r="I18" s="109">
        <f t="shared" si="19"/>
        <v>0.1</v>
      </c>
      <c r="J18" s="206">
        <f>Result!C45*Stat!B18</f>
        <v>0</v>
      </c>
      <c r="K18" s="206">
        <f>Result!D45*Stat!C18</f>
        <v>0</v>
      </c>
      <c r="L18" s="206">
        <f>Result!E45*Stat!D18</f>
        <v>0</v>
      </c>
      <c r="M18" s="206">
        <f>Result!F45*Stat!E18</f>
        <v>0</v>
      </c>
      <c r="N18" s="206">
        <f>Result!G45*Stat!F18</f>
        <v>0</v>
      </c>
      <c r="O18" s="206">
        <f>Result!H45*Stat!G18</f>
        <v>0</v>
      </c>
      <c r="P18" s="206">
        <f>Result!I45*Stat!H18</f>
        <v>0</v>
      </c>
      <c r="Q18" s="206">
        <f>Result!J45*Stat!I18</f>
        <v>0</v>
      </c>
      <c r="R18" s="151"/>
      <c r="S18" s="151">
        <f t="shared" si="3"/>
        <v>1.1</v>
      </c>
      <c r="T18" s="151">
        <f t="shared" si="4"/>
        <v>1.1</v>
      </c>
      <c r="U18" s="151">
        <f t="shared" si="5"/>
        <v>1.1</v>
      </c>
      <c r="V18" s="151">
        <f t="shared" si="6"/>
        <v>1.1</v>
      </c>
      <c r="W18" s="151">
        <f t="shared" si="7"/>
        <v>1.1</v>
      </c>
      <c r="X18" s="151">
        <f t="shared" si="8"/>
        <v>1.1</v>
      </c>
      <c r="Y18" s="151">
        <f t="shared" si="9"/>
        <v>1.1</v>
      </c>
      <c r="Z18" s="151">
        <f t="shared" si="10"/>
        <v>1.1</v>
      </c>
    </row>
    <row r="19" spans="1:26" ht="12.75">
      <c r="A19" s="68" t="str">
        <f>Result!A34</f>
        <v>M8 afvalvorming</v>
      </c>
      <c r="B19" s="109">
        <f t="shared" si="12"/>
        <v>0.1</v>
      </c>
      <c r="C19" s="109">
        <f t="shared" si="13"/>
        <v>0.1</v>
      </c>
      <c r="D19" s="109">
        <f t="shared" si="14"/>
        <v>0.1</v>
      </c>
      <c r="E19" s="109">
        <f t="shared" si="15"/>
        <v>0.1</v>
      </c>
      <c r="F19" s="109">
        <f t="shared" si="16"/>
        <v>0.1</v>
      </c>
      <c r="G19" s="109">
        <f t="shared" si="17"/>
        <v>0.1</v>
      </c>
      <c r="H19" s="109">
        <f t="shared" si="18"/>
        <v>0.1</v>
      </c>
      <c r="I19" s="109">
        <f t="shared" si="19"/>
        <v>0.1</v>
      </c>
      <c r="J19" s="206">
        <f>Result!C46*Stat!B19</f>
        <v>0</v>
      </c>
      <c r="K19" s="206">
        <f>Result!D46*Stat!C19</f>
        <v>0</v>
      </c>
      <c r="L19" s="206">
        <f>Result!E46*Stat!D19</f>
        <v>0</v>
      </c>
      <c r="M19" s="206">
        <f>Result!F46*Stat!E19</f>
        <v>0</v>
      </c>
      <c r="N19" s="206">
        <f>Result!G46*Stat!F19</f>
        <v>0</v>
      </c>
      <c r="O19" s="206">
        <f>Result!H46*Stat!G19</f>
        <v>0</v>
      </c>
      <c r="P19" s="206">
        <f>Result!I46*Stat!H19</f>
        <v>0</v>
      </c>
      <c r="Q19" s="206">
        <f>Result!J46*Stat!I19</f>
        <v>0</v>
      </c>
      <c r="R19" s="151"/>
      <c r="S19" s="151">
        <f t="shared" si="3"/>
        <v>1.1</v>
      </c>
      <c r="T19" s="151">
        <f t="shared" si="4"/>
        <v>1.1</v>
      </c>
      <c r="U19" s="151">
        <f t="shared" si="5"/>
        <v>1.1</v>
      </c>
      <c r="V19" s="151">
        <f t="shared" si="6"/>
        <v>1.1</v>
      </c>
      <c r="W19" s="151">
        <f t="shared" si="7"/>
        <v>1.1</v>
      </c>
      <c r="X19" s="151">
        <f t="shared" si="8"/>
        <v>1.1</v>
      </c>
      <c r="Y19" s="151">
        <f t="shared" si="9"/>
        <v>1.1</v>
      </c>
      <c r="Z19" s="151">
        <f t="shared" si="10"/>
        <v>1.1</v>
      </c>
    </row>
    <row r="20" spans="1:26" ht="12.75">
      <c r="A20" s="68" t="str">
        <f>Result!A35</f>
        <v>M9 ruimtebeslag</v>
      </c>
      <c r="B20" s="109">
        <f t="shared" si="12"/>
        <v>0.1</v>
      </c>
      <c r="C20" s="109">
        <f t="shared" si="13"/>
        <v>0.1</v>
      </c>
      <c r="D20" s="109">
        <f t="shared" si="14"/>
        <v>0.1</v>
      </c>
      <c r="E20" s="109">
        <f t="shared" si="15"/>
        <v>0.1</v>
      </c>
      <c r="F20" s="109">
        <f t="shared" si="16"/>
        <v>0.1</v>
      </c>
      <c r="G20" s="109">
        <f t="shared" si="17"/>
        <v>0.1</v>
      </c>
      <c r="H20" s="109">
        <f t="shared" si="18"/>
        <v>0.1</v>
      </c>
      <c r="I20" s="109">
        <f t="shared" si="19"/>
        <v>0.1</v>
      </c>
      <c r="J20" s="206">
        <f>Result!C47*Stat!B20</f>
        <v>0</v>
      </c>
      <c r="K20" s="206">
        <f>Result!D47*Stat!C20</f>
        <v>0</v>
      </c>
      <c r="L20" s="206">
        <f>Result!E47*Stat!D20</f>
        <v>0</v>
      </c>
      <c r="M20" s="206">
        <f>Result!F47*Stat!E20</f>
        <v>0</v>
      </c>
      <c r="N20" s="206">
        <f>Result!G47*Stat!F20</f>
        <v>0</v>
      </c>
      <c r="O20" s="206">
        <f>Result!H47*Stat!G20</f>
        <v>0</v>
      </c>
      <c r="P20" s="206">
        <f>Result!I47*Stat!H20</f>
        <v>0</v>
      </c>
      <c r="Q20" s="206">
        <f>Result!J47*Stat!I20</f>
        <v>0</v>
      </c>
      <c r="R20" s="151"/>
      <c r="S20" s="151">
        <f t="shared" si="3"/>
        <v>1.1</v>
      </c>
      <c r="T20" s="151">
        <f t="shared" si="4"/>
        <v>1.1</v>
      </c>
      <c r="U20" s="151">
        <f t="shared" si="5"/>
        <v>1.1</v>
      </c>
      <c r="V20" s="151">
        <f t="shared" si="6"/>
        <v>1.1</v>
      </c>
      <c r="W20" s="151">
        <f t="shared" si="7"/>
        <v>1.1</v>
      </c>
      <c r="X20" s="151">
        <f t="shared" si="8"/>
        <v>1.1</v>
      </c>
      <c r="Y20" s="151">
        <f t="shared" si="9"/>
        <v>1.1</v>
      </c>
      <c r="Z20" s="151">
        <f t="shared" si="10"/>
        <v>1.1</v>
      </c>
    </row>
    <row r="21" spans="1:18" ht="12.75">
      <c r="A21" s="73" t="s">
        <v>104</v>
      </c>
      <c r="B21" s="68">
        <f>Result!C48</f>
        <v>0</v>
      </c>
      <c r="C21" s="68">
        <f>Result!D48</f>
        <v>0</v>
      </c>
      <c r="D21" s="68">
        <f>Result!E48</f>
        <v>0</v>
      </c>
      <c r="E21" s="68">
        <f>Result!F48</f>
        <v>0</v>
      </c>
      <c r="F21" s="68">
        <f>Result!G48</f>
        <v>0</v>
      </c>
      <c r="G21" s="68">
        <f>Result!H48</f>
        <v>0</v>
      </c>
      <c r="H21" s="68">
        <f>Result!I48</f>
        <v>0</v>
      </c>
      <c r="I21" s="68">
        <f>Result!I48</f>
        <v>0</v>
      </c>
      <c r="J21" s="206" t="s">
        <v>307</v>
      </c>
      <c r="K21" s="207"/>
      <c r="L21" s="207"/>
      <c r="M21" s="207"/>
      <c r="N21" s="207"/>
      <c r="O21" s="207"/>
      <c r="P21" s="207"/>
      <c r="Q21" s="207"/>
      <c r="R21" s="208"/>
    </row>
    <row r="22" spans="1:26" ht="12.75">
      <c r="A22" s="73" t="s">
        <v>308</v>
      </c>
      <c r="B22" s="68">
        <f aca="true" t="shared" si="20" ref="B22:I22">(J31)</f>
        <v>0</v>
      </c>
      <c r="C22" s="68">
        <f t="shared" si="20"/>
        <v>0</v>
      </c>
      <c r="D22" s="68">
        <f t="shared" si="20"/>
        <v>0</v>
      </c>
      <c r="E22" s="68">
        <f t="shared" si="20"/>
        <v>0</v>
      </c>
      <c r="F22" s="68">
        <f t="shared" si="20"/>
        <v>0</v>
      </c>
      <c r="G22" s="68">
        <f t="shared" si="20"/>
        <v>0</v>
      </c>
      <c r="H22" s="68">
        <f t="shared" si="20"/>
        <v>0</v>
      </c>
      <c r="I22" s="68">
        <f t="shared" si="20"/>
        <v>0</v>
      </c>
      <c r="J22" s="206">
        <f>SQRT((1/18)*((Result!C39+Stat!J12)^2+(Result!C39-Stat!J12)^2+(Result!C39)^2-(Result!C39-Stat!J12)*Result!C39-(Result!C39-Stat!J12)*(Result!C39+Stat!J12)-(Result!C39+Stat!J12)*Result!C39))</f>
        <v>0</v>
      </c>
      <c r="K22" s="206">
        <f>SQRT((1/18)*((Result!D39+Stat!K12)^2+(Result!D39-Stat!K12)^2+(Result!D39)^2-(Result!D39-Stat!K12)*Result!D39-(Result!D39-Stat!K12)*(Result!D39+Stat!K12)-(Result!D39+Stat!K12)*Result!D39))</f>
        <v>0</v>
      </c>
      <c r="L22" s="206">
        <f>SQRT((1/18)*((Result!E39+Stat!L12)^2+(Result!E39-Stat!L12)^2+(Result!E39)^2-(Result!E39-Stat!L12)*Result!E39-(Result!E39-Stat!L12)*(Result!E39+Stat!L12)-(Result!E39+Stat!L12)*Result!E39))</f>
        <v>0</v>
      </c>
      <c r="M22" s="206">
        <f>SQRT((1/18)*((Result!F39+Stat!M12)^2+(Result!F39-Stat!M12)^2+(Result!F39)^2-(Result!F39-Stat!M12)*Result!F39-(Result!F39-Stat!M12)*(Result!F39+Stat!M12)-(Result!F39+Stat!M12)*Result!F39))</f>
        <v>0</v>
      </c>
      <c r="N22" s="206">
        <f>SQRT((1/18)*((Result!G39+Stat!N12)^2+(Result!G39-Stat!N12)^2+(Result!G39)^2-(Result!G39-Stat!N12)*Result!G39-(Result!G39-Stat!N12)*(Result!G39+Stat!N12)-(Result!G39+Stat!N12)*Result!G39))</f>
        <v>0</v>
      </c>
      <c r="O22" s="206">
        <f>SQRT((1/18)*((Result!H39+Stat!O12)^2+(Result!H39-Stat!O12)^2+(Result!H39)^2-(Result!H39-Stat!O12)*Result!H39-(Result!H39-Stat!O12)*(Result!H39+Stat!O12)-(Result!H39+Stat!O12)*Result!H39))</f>
        <v>0</v>
      </c>
      <c r="P22" s="206">
        <f>SQRT((1/18)*((Result!I39+Stat!P12)^2+(Result!I39-Stat!P12)^2+(Result!I39)^2-(Result!I39-Stat!P12)*Result!I39-(Result!I39-Stat!P12)*(Result!I39+Stat!P12)-(Result!I39+Stat!P12)*Result!I39))</f>
        <v>0</v>
      </c>
      <c r="Q22" s="206">
        <f>SQRT((1/18)*((Result!J39+Stat!Q12)^2+(Result!J39-Stat!Q12)^2+(Result!J39)^2-(Result!J39-Stat!Q12)*Result!J39-(Result!J39-Stat!Q12)*(Result!J39+Stat!Q12)-(Result!J39+Stat!Q12)*Result!J39))</f>
        <v>0</v>
      </c>
      <c r="R22" s="208"/>
      <c r="S22" s="209">
        <f aca="true" t="shared" si="21" ref="S22:S30">1-B12</f>
        <v>0.9</v>
      </c>
      <c r="T22" s="209">
        <f aca="true" t="shared" si="22" ref="T22:T30">1-C12</f>
        <v>0.9</v>
      </c>
      <c r="U22" s="209">
        <f aca="true" t="shared" si="23" ref="U22:U30">1-D12</f>
        <v>0.9</v>
      </c>
      <c r="V22" s="209">
        <f aca="true" t="shared" si="24" ref="V22:V30">1-E12</f>
        <v>0.9</v>
      </c>
      <c r="W22" s="209">
        <f aca="true" t="shared" si="25" ref="W22:W30">1-F12</f>
        <v>0.9</v>
      </c>
      <c r="X22" s="209">
        <f aca="true" t="shared" si="26" ref="X22:X30">1-G12</f>
        <v>0.9</v>
      </c>
      <c r="Y22" s="209">
        <f aca="true" t="shared" si="27" ref="Y22:Y30">1-H12</f>
        <v>0.9</v>
      </c>
      <c r="Z22" s="209">
        <f aca="true" t="shared" si="28" ref="Z22:Z30">1-I12</f>
        <v>0.9</v>
      </c>
    </row>
    <row r="23" spans="1:26" ht="12.75">
      <c r="A23" s="58"/>
      <c r="J23" s="206">
        <f>SQRT((1/18)*((Result!C40+Stat!J13)^2+(Result!C40-Stat!J13)^2+(Result!C40)^2-(Result!C40-Stat!J13)*Result!C40-(Result!C40-Stat!J13)*(Result!C40+Stat!J13)-(Result!C40+Stat!J13)*Result!C40))</f>
        <v>0</v>
      </c>
      <c r="K23" s="206">
        <f>SQRT((1/18)*((Result!D40+Stat!K13)^2+(Result!D40-Stat!K13)^2+(Result!D40)^2-(Result!D40-Stat!K13)*Result!D40-(Result!D40-Stat!K13)*(Result!D40+Stat!K13)-(Result!D40+Stat!K13)*Result!D40))</f>
        <v>0</v>
      </c>
      <c r="L23" s="206">
        <f>SQRT((1/18)*((Result!E40+Stat!L13)^2+(Result!E40-Stat!L13)^2+(Result!E40)^2-(Result!E40-Stat!L13)*Result!E40-(Result!E40-Stat!L13)*(Result!E40+Stat!L13)-(Result!E40+Stat!L13)*Result!E40))</f>
        <v>0</v>
      </c>
      <c r="M23" s="206">
        <f>SQRT((1/18)*((Result!F40+Stat!M13)^2+(Result!F40-Stat!M13)^2+(Result!F40)^2-(Result!F40-Stat!M13)*Result!F40-(Result!F40-Stat!M13)*(Result!F40+Stat!M13)-(Result!F40+Stat!M13)*Result!F40))</f>
        <v>0</v>
      </c>
      <c r="N23" s="206">
        <f>SQRT((1/18)*((Result!G40+Stat!N13)^2+(Result!G40-Stat!N13)^2+(Result!G40)^2-(Result!G40-Stat!N13)*Result!G40-(Result!G40-Stat!N13)*(Result!G40+Stat!N13)-(Result!G40+Stat!N13)*Result!G40))</f>
        <v>0</v>
      </c>
      <c r="O23" s="206">
        <f>SQRT((1/18)*((Result!H40+Stat!O13)^2+(Result!H40-Stat!O13)^2+(Result!H40)^2-(Result!H40-Stat!O13)*Result!H40-(Result!H40-Stat!O13)*(Result!H40+Stat!O13)-(Result!H40+Stat!O13)*Result!H40))</f>
        <v>0</v>
      </c>
      <c r="P23" s="206">
        <f>SQRT((1/18)*((Result!I40+Stat!P13)^2+(Result!I40-Stat!P13)^2+(Result!I40)^2-(Result!I40-Stat!P13)*Result!I40-(Result!I40-Stat!P13)*(Result!I40+Stat!P13)-(Result!I40+Stat!P13)*Result!I40))</f>
        <v>0</v>
      </c>
      <c r="Q23" s="206">
        <f>SQRT((1/18)*((Result!J40+Stat!Q13)^2+(Result!J40-Stat!Q13)^2+(Result!J40)^2-(Result!J40-Stat!Q13)*Result!J40-(Result!J40-Stat!Q13)*(Result!J40+Stat!Q13)-(Result!J40+Stat!Q13)*Result!J40))</f>
        <v>0</v>
      </c>
      <c r="S23" s="209">
        <f t="shared" si="21"/>
        <v>0.9</v>
      </c>
      <c r="T23" s="209">
        <f t="shared" si="22"/>
        <v>0.9</v>
      </c>
      <c r="U23" s="209">
        <f t="shared" si="23"/>
        <v>0.9</v>
      </c>
      <c r="V23" s="209">
        <f t="shared" si="24"/>
        <v>0.9</v>
      </c>
      <c r="W23" s="209">
        <f t="shared" si="25"/>
        <v>0.9</v>
      </c>
      <c r="X23" s="209">
        <f t="shared" si="26"/>
        <v>0.9</v>
      </c>
      <c r="Y23" s="209">
        <f t="shared" si="27"/>
        <v>0.9</v>
      </c>
      <c r="Z23" s="209">
        <f t="shared" si="28"/>
        <v>0.9</v>
      </c>
    </row>
    <row r="24" spans="1:26" ht="12.75">
      <c r="A24" s="58"/>
      <c r="J24" s="206">
        <f>SQRT((1/18)*((Result!C41+Stat!J14)^2+(Result!C41-Stat!J14)^2+(Result!C41)^2-(Result!C41-Stat!J14)*Result!C41-(Result!C41-Stat!J14)*(Result!C41+Stat!J14)-(Result!C41+Stat!J14)*Result!C41))</f>
        <v>0</v>
      </c>
      <c r="K24" s="206">
        <f>SQRT((1/18)*((Result!D41+Stat!K14)^2+(Result!D41-Stat!K14)^2+(Result!D41)^2-(Result!D41-Stat!K14)*Result!D41-(Result!D41-Stat!K14)*(Result!D41+Stat!K14)-(Result!D41+Stat!K14)*Result!D41))</f>
        <v>0</v>
      </c>
      <c r="L24" s="206">
        <f>SQRT((1/18)*((Result!E41+Stat!L14)^2+(Result!E41-Stat!L14)^2+(Result!E41)^2-(Result!E41-Stat!L14)*Result!E41-(Result!E41-Stat!L14)*(Result!E41+Stat!L14)-(Result!E41+Stat!L14)*Result!E41))</f>
        <v>0</v>
      </c>
      <c r="M24" s="206">
        <f>SQRT((1/18)*((Result!F41+Stat!M14)^2+(Result!F41-Stat!M14)^2+(Result!F41)^2-(Result!F41-Stat!M14)*Result!F41-(Result!F41-Stat!M14)*(Result!F41+Stat!M14)-(Result!F41+Stat!M14)*Result!F41))</f>
        <v>0</v>
      </c>
      <c r="N24" s="206">
        <f>SQRT((1/18)*((Result!G41+Stat!N14)^2+(Result!G41-Stat!N14)^2+(Result!G41)^2-(Result!G41-Stat!N14)*Result!G41-(Result!G41-Stat!N14)*(Result!G41+Stat!N14)-(Result!G41+Stat!N14)*Result!G41))</f>
        <v>0</v>
      </c>
      <c r="O24" s="206">
        <f>SQRT((1/18)*((Result!H41+Stat!O14)^2+(Result!H41-Stat!O14)^2+(Result!H41)^2-(Result!H41-Stat!O14)*Result!H41-(Result!H41-Stat!O14)*(Result!H41+Stat!O14)-(Result!H41+Stat!O14)*Result!H41))</f>
        <v>0</v>
      </c>
      <c r="P24" s="206">
        <f>SQRT((1/18)*((Result!I41+Stat!P14)^2+(Result!I41-Stat!P14)^2+(Result!I41)^2-(Result!I41-Stat!P14)*Result!I41-(Result!I41-Stat!P14)*(Result!I41+Stat!P14)-(Result!I41+Stat!P14)*Result!I41))</f>
        <v>0</v>
      </c>
      <c r="Q24" s="206">
        <f>SQRT((1/18)*((Result!J41+Stat!Q14)^2+(Result!J41-Stat!Q14)^2+(Result!J41)^2-(Result!J41-Stat!Q14)*Result!J41-(Result!J41-Stat!Q14)*(Result!J41+Stat!Q14)-(Result!J41+Stat!Q14)*Result!J41))</f>
        <v>0</v>
      </c>
      <c r="S24" s="209">
        <f t="shared" si="21"/>
        <v>0.9</v>
      </c>
      <c r="T24" s="209">
        <f t="shared" si="22"/>
        <v>0.9</v>
      </c>
      <c r="U24" s="209">
        <f t="shared" si="23"/>
        <v>0.9</v>
      </c>
      <c r="V24" s="209">
        <f t="shared" si="24"/>
        <v>0.9</v>
      </c>
      <c r="W24" s="209">
        <f t="shared" si="25"/>
        <v>0.9</v>
      </c>
      <c r="X24" s="209">
        <f t="shared" si="26"/>
        <v>0.9</v>
      </c>
      <c r="Y24" s="209">
        <f t="shared" si="27"/>
        <v>0.9</v>
      </c>
      <c r="Z24" s="209">
        <f t="shared" si="28"/>
        <v>0.9</v>
      </c>
    </row>
    <row r="25" spans="1:26" ht="12.75">
      <c r="A25" s="58"/>
      <c r="J25" s="206">
        <f>SQRT((1/18)*((Result!C42+Stat!J15)^2+(Result!C42-Stat!J15)^2+(Result!C42)^2-(Result!C42-Stat!J15)*Result!C42-(Result!C42-Stat!J15)*(Result!C42+Stat!J15)-(Result!C42+Stat!J15)*Result!C42))</f>
        <v>0</v>
      </c>
      <c r="K25" s="206">
        <f>SQRT((1/18)*((Result!D42+Stat!K15)^2+(Result!D42-Stat!K15)^2+(Result!D42)^2-(Result!D42-Stat!K15)*Result!D42-(Result!D42-Stat!K15)*(Result!D42+Stat!K15)-(Result!D42+Stat!K15)*Result!D42))</f>
        <v>0</v>
      </c>
      <c r="L25" s="206">
        <f>SQRT((1/18)*((Result!E42+Stat!L15)^2+(Result!E42-Stat!L15)^2+(Result!E42)^2-(Result!E42-Stat!L15)*Result!E42-(Result!E42-Stat!L15)*(Result!E42+Stat!L15)-(Result!E42+Stat!L15)*Result!E42))</f>
        <v>0</v>
      </c>
      <c r="M25" s="206">
        <f>SQRT((1/18)*((Result!F42+Stat!M15)^2+(Result!F42-Stat!M15)^2+(Result!F42)^2-(Result!F42-Stat!M15)*Result!F42-(Result!F42-Stat!M15)*(Result!F42+Stat!M15)-(Result!F42+Stat!M15)*Result!F42))</f>
        <v>0</v>
      </c>
      <c r="N25" s="206">
        <f>SQRT((1/18)*((Result!G42+Stat!N15)^2+(Result!G42-Stat!N15)^2+(Result!G42)^2-(Result!G42-Stat!N15)*Result!G42-(Result!G42-Stat!N15)*(Result!G42+Stat!N15)-(Result!G42+Stat!N15)*Result!G42))</f>
        <v>0</v>
      </c>
      <c r="O25" s="206">
        <f>SQRT((1/18)*((Result!H42+Stat!O15)^2+(Result!H42-Stat!O15)^2+(Result!H42)^2-(Result!H42-Stat!O15)*Result!H42-(Result!H42-Stat!O15)*(Result!H42+Stat!O15)-(Result!H42+Stat!O15)*Result!H42))</f>
        <v>0</v>
      </c>
      <c r="P25" s="206">
        <f>SQRT((1/18)*((Result!I42+Stat!P15)^2+(Result!I42-Stat!P15)^2+(Result!I42)^2-(Result!I42-Stat!P15)*Result!I42-(Result!I42-Stat!P15)*(Result!I42+Stat!P15)-(Result!I42+Stat!P15)*Result!I42))</f>
        <v>0</v>
      </c>
      <c r="Q25" s="206">
        <f>SQRT((1/18)*((Result!J42+Stat!Q15)^2+(Result!J42-Stat!Q15)^2+(Result!J42)^2-(Result!J42-Stat!Q15)*Result!J42-(Result!J42-Stat!Q15)*(Result!J42+Stat!Q15)-(Result!J42+Stat!Q15)*Result!J42))</f>
        <v>0</v>
      </c>
      <c r="S25" s="209">
        <f t="shared" si="21"/>
        <v>0.9</v>
      </c>
      <c r="T25" s="209">
        <f t="shared" si="22"/>
        <v>0.9</v>
      </c>
      <c r="U25" s="209">
        <f t="shared" si="23"/>
        <v>0.9</v>
      </c>
      <c r="V25" s="209">
        <f t="shared" si="24"/>
        <v>0.9</v>
      </c>
      <c r="W25" s="209">
        <f t="shared" si="25"/>
        <v>0.9</v>
      </c>
      <c r="X25" s="209">
        <f t="shared" si="26"/>
        <v>0.9</v>
      </c>
      <c r="Y25" s="209">
        <f t="shared" si="27"/>
        <v>0.9</v>
      </c>
      <c r="Z25" s="209">
        <f t="shared" si="28"/>
        <v>0.9</v>
      </c>
    </row>
    <row r="26" spans="1:26" ht="12.75">
      <c r="A26" s="58"/>
      <c r="J26" s="206">
        <f>SQRT((1/18)*((Result!C43+Stat!J16)^2+(Result!C43-Stat!J16)^2+(Result!C43)^2-(Result!C43-Stat!J16)*Result!C43-(Result!C43-Stat!J16)*(Result!C43+Stat!J16)-(Result!C43+Stat!J16)*Result!C43))</f>
        <v>0</v>
      </c>
      <c r="K26" s="206">
        <f>SQRT((1/18)*((Result!D43+Stat!K16)^2+(Result!D43-Stat!K16)^2+(Result!D43)^2-(Result!D43-Stat!K16)*Result!D43-(Result!D43-Stat!K16)*(Result!D43+Stat!K16)-(Result!D43+Stat!K16)*Result!D43))</f>
        <v>0</v>
      </c>
      <c r="L26" s="206">
        <f>SQRT((1/18)*((Result!E43+Stat!L16)^2+(Result!E43-Stat!L16)^2+(Result!E43)^2-(Result!E43-Stat!L16)*Result!E43-(Result!E43-Stat!L16)*(Result!E43+Stat!L16)-(Result!E43+Stat!L16)*Result!E43))</f>
        <v>0</v>
      </c>
      <c r="M26" s="206">
        <f>SQRT((1/18)*((Result!F43+Stat!M16)^2+(Result!F43-Stat!M16)^2+(Result!F43)^2-(Result!F43-Stat!M16)*Result!F43-(Result!F43-Stat!M16)*(Result!F43+Stat!M16)-(Result!F43+Stat!M16)*Result!F43))</f>
        <v>0</v>
      </c>
      <c r="N26" s="206">
        <f>SQRT((1/18)*((Result!G43+Stat!N16)^2+(Result!G43-Stat!N16)^2+(Result!G43)^2-(Result!G43-Stat!N16)*Result!G43-(Result!G43-Stat!N16)*(Result!G43+Stat!N16)-(Result!G43+Stat!N16)*Result!G43))</f>
        <v>0</v>
      </c>
      <c r="O26" s="206">
        <f>SQRT((1/18)*((Result!H43+Stat!O16)^2+(Result!H43-Stat!O16)^2+(Result!H43)^2-(Result!H43-Stat!O16)*Result!H43-(Result!H43-Stat!O16)*(Result!H43+Stat!O16)-(Result!H43+Stat!O16)*Result!H43))</f>
        <v>0</v>
      </c>
      <c r="P26" s="206">
        <f>SQRT((1/18)*((Result!I43+Stat!P16)^2+(Result!I43-Stat!P16)^2+(Result!I43)^2-(Result!I43-Stat!P16)*Result!I43-(Result!I43-Stat!P16)*(Result!I43+Stat!P16)-(Result!I43+Stat!P16)*Result!I43))</f>
        <v>0</v>
      </c>
      <c r="Q26" s="206">
        <f>SQRT((1/18)*((Result!J43+Stat!Q16)^2+(Result!J43-Stat!Q16)^2+(Result!J43)^2-(Result!J43-Stat!Q16)*Result!J43-(Result!J43-Stat!Q16)*(Result!J43+Stat!Q16)-(Result!J43+Stat!Q16)*Result!J43))</f>
        <v>0</v>
      </c>
      <c r="S26" s="209">
        <f t="shared" si="21"/>
        <v>0.9</v>
      </c>
      <c r="T26" s="209">
        <f t="shared" si="22"/>
        <v>0.9</v>
      </c>
      <c r="U26" s="209">
        <f t="shared" si="23"/>
        <v>0.9</v>
      </c>
      <c r="V26" s="209">
        <f t="shared" si="24"/>
        <v>0.9</v>
      </c>
      <c r="W26" s="209">
        <f t="shared" si="25"/>
        <v>0.9</v>
      </c>
      <c r="X26" s="209">
        <f t="shared" si="26"/>
        <v>0.9</v>
      </c>
      <c r="Y26" s="209">
        <f t="shared" si="27"/>
        <v>0.9</v>
      </c>
      <c r="Z26" s="209">
        <f t="shared" si="28"/>
        <v>0.9</v>
      </c>
    </row>
    <row r="27" spans="1:26" ht="12.75">
      <c r="A27" s="45" t="str">
        <f>A6</f>
        <v>Grafiek onzekerheid score</v>
      </c>
      <c r="F27" s="58"/>
      <c r="G27" s="106"/>
      <c r="J27" s="206">
        <f>SQRT((1/18)*((Result!C44+Stat!J17)^2+(Result!C44-Stat!J17)^2+(Result!C44)^2-(Result!C44-Stat!J17)*Result!C44-(Result!C44-Stat!J17)*(Result!C44+Stat!J17)-(Result!C44+Stat!J17)*Result!C44))</f>
        <v>0</v>
      </c>
      <c r="K27" s="206">
        <f>SQRT((1/18)*((Result!D44+Stat!K17)^2+(Result!D44-Stat!K17)^2+(Result!D44)^2-(Result!D44-Stat!K17)*Result!D44-(Result!D44-Stat!K17)*(Result!D44+Stat!K17)-(Result!D44+Stat!K17)*Result!D44))</f>
        <v>0</v>
      </c>
      <c r="L27" s="206">
        <f>SQRT((1/18)*((Result!E44+Stat!L17)^2+(Result!E44-Stat!L17)^2+(Result!E44)^2-(Result!E44-Stat!L17)*Result!E44-(Result!E44-Stat!L17)*(Result!E44+Stat!L17)-(Result!E44+Stat!L17)*Result!E44))</f>
        <v>0</v>
      </c>
      <c r="M27" s="206">
        <f>SQRT((1/18)*((Result!F44+Stat!M17)^2+(Result!F44-Stat!M17)^2+(Result!F44)^2-(Result!F44-Stat!M17)*Result!F44-(Result!F44-Stat!M17)*(Result!F44+Stat!M17)-(Result!F44+Stat!M17)*Result!F44))</f>
        <v>0</v>
      </c>
      <c r="N27" s="206">
        <f>SQRT((1/18)*((Result!G44+Stat!N17)^2+(Result!G44-Stat!N17)^2+(Result!G44)^2-(Result!G44-Stat!N17)*Result!G44-(Result!G44-Stat!N17)*(Result!G44+Stat!N17)-(Result!G44+Stat!N17)*Result!G44))</f>
        <v>0</v>
      </c>
      <c r="O27" s="206">
        <f>SQRT((1/18)*((Result!H44+Stat!O17)^2+(Result!H44-Stat!O17)^2+(Result!H44)^2-(Result!H44-Stat!O17)*Result!H44-(Result!H44-Stat!O17)*(Result!H44+Stat!O17)-(Result!H44+Stat!O17)*Result!H44))</f>
        <v>0</v>
      </c>
      <c r="P27" s="206">
        <f>SQRT((1/18)*((Result!I44+Stat!P17)^2+(Result!I44-Stat!P17)^2+(Result!I44)^2-(Result!I44-Stat!P17)*Result!I44-(Result!I44-Stat!P17)*(Result!I44+Stat!P17)-(Result!I44+Stat!P17)*Result!I44))</f>
        <v>0</v>
      </c>
      <c r="Q27" s="206">
        <f>SQRT((1/18)*((Result!J44+Stat!Q17)^2+(Result!J44-Stat!Q17)^2+(Result!J44)^2-(Result!J44-Stat!Q17)*Result!J44-(Result!J44-Stat!Q17)*(Result!J44+Stat!Q17)-(Result!J44+Stat!Q17)*Result!J44))</f>
        <v>0</v>
      </c>
      <c r="S27" s="209">
        <f t="shared" si="21"/>
        <v>0.9</v>
      </c>
      <c r="T27" s="209">
        <f t="shared" si="22"/>
        <v>0.9</v>
      </c>
      <c r="U27" s="209">
        <f t="shared" si="23"/>
        <v>0.9</v>
      </c>
      <c r="V27" s="209">
        <f t="shared" si="24"/>
        <v>0.9</v>
      </c>
      <c r="W27" s="209">
        <f t="shared" si="25"/>
        <v>0.9</v>
      </c>
      <c r="X27" s="209">
        <f t="shared" si="26"/>
        <v>0.9</v>
      </c>
      <c r="Y27" s="209">
        <f t="shared" si="27"/>
        <v>0.9</v>
      </c>
      <c r="Z27" s="209">
        <f t="shared" si="28"/>
        <v>0.9</v>
      </c>
    </row>
    <row r="28" spans="10:26" ht="12.75">
      <c r="J28" s="206">
        <f>SQRT((1/18)*((Result!C45+Stat!J18)^2+(Result!C45-Stat!J18)^2+(Result!C45)^2-(Result!C45-Stat!J18)*Result!C45-(Result!C45-Stat!J18)*(Result!C45+Stat!J18)-(Result!C45+Stat!J18)*Result!C45))</f>
        <v>0</v>
      </c>
      <c r="K28" s="206">
        <f>SQRT((1/18)*((Result!D45+Stat!K18)^2+(Result!D45-Stat!K18)^2+(Result!D45)^2-(Result!D45-Stat!K18)*Result!D45-(Result!D45-Stat!K18)*(Result!D45+Stat!K18)-(Result!D45+Stat!K18)*Result!D45))</f>
        <v>0</v>
      </c>
      <c r="L28" s="206">
        <f>SQRT((1/18)*((Result!E45+Stat!L18)^2+(Result!E45-Stat!L18)^2+(Result!E45)^2-(Result!E45-Stat!L18)*Result!E45-(Result!E45-Stat!L18)*(Result!E45+Stat!L18)-(Result!E45+Stat!L18)*Result!E45))</f>
        <v>0</v>
      </c>
      <c r="M28" s="206">
        <f>SQRT((1/18)*((Result!F45+Stat!M18)^2+(Result!F45-Stat!M18)^2+(Result!F45)^2-(Result!F45-Stat!M18)*Result!F45-(Result!F45-Stat!M18)*(Result!F45+Stat!M18)-(Result!F45+Stat!M18)*Result!F45))</f>
        <v>0</v>
      </c>
      <c r="N28" s="206">
        <f>SQRT((1/18)*((Result!G45+Stat!N18)^2+(Result!G45-Stat!N18)^2+(Result!G45)^2-(Result!G45-Stat!N18)*Result!G45-(Result!G45-Stat!N18)*(Result!G45+Stat!N18)-(Result!G45+Stat!N18)*Result!G45))</f>
        <v>0</v>
      </c>
      <c r="O28" s="206">
        <f>SQRT((1/18)*((Result!H45+Stat!O18)^2+(Result!H45-Stat!O18)^2+(Result!H45)^2-(Result!H45-Stat!O18)*Result!H45-(Result!H45-Stat!O18)*(Result!H45+Stat!O18)-(Result!H45+Stat!O18)*Result!H45))</f>
        <v>0</v>
      </c>
      <c r="P28" s="206">
        <f>SQRT((1/18)*((Result!I45+Stat!P18)^2+(Result!I45-Stat!P18)^2+(Result!I45)^2-(Result!I45-Stat!P18)*Result!I45-(Result!I45-Stat!P18)*(Result!I45+Stat!P18)-(Result!I45+Stat!P18)*Result!I45))</f>
        <v>0</v>
      </c>
      <c r="Q28" s="206">
        <f>SQRT((1/18)*((Result!J45+Stat!Q18)^2+(Result!J45-Stat!Q18)^2+(Result!J45)^2-(Result!J45-Stat!Q18)*Result!J45-(Result!J45-Stat!Q18)*(Result!J45+Stat!Q18)-(Result!J45+Stat!Q18)*Result!J45))</f>
        <v>0</v>
      </c>
      <c r="S28" s="209">
        <f t="shared" si="21"/>
        <v>0.9</v>
      </c>
      <c r="T28" s="209">
        <f t="shared" si="22"/>
        <v>0.9</v>
      </c>
      <c r="U28" s="209">
        <f t="shared" si="23"/>
        <v>0.9</v>
      </c>
      <c r="V28" s="209">
        <f t="shared" si="24"/>
        <v>0.9</v>
      </c>
      <c r="W28" s="209">
        <f t="shared" si="25"/>
        <v>0.9</v>
      </c>
      <c r="X28" s="209">
        <f t="shared" si="26"/>
        <v>0.9</v>
      </c>
      <c r="Y28" s="209">
        <f t="shared" si="27"/>
        <v>0.9</v>
      </c>
      <c r="Z28" s="209">
        <f t="shared" si="28"/>
        <v>0.9</v>
      </c>
    </row>
    <row r="29" spans="10:26" ht="12.75">
      <c r="J29" s="206">
        <f>SQRT((1/18)*((Result!C46+Stat!J19)^2+(Result!C46-Stat!J19)^2+(Result!C46)^2-(Result!C46-Stat!J19)*Result!C46-(Result!C46-Stat!J19)*(Result!C46+Stat!J19)-(Result!C46+Stat!J19)*Result!C46))</f>
        <v>0</v>
      </c>
      <c r="K29" s="206">
        <f>SQRT((1/18)*((Result!D46+Stat!K19)^2+(Result!D46-Stat!K19)^2+(Result!D46)^2-(Result!D46-Stat!K19)*Result!D46-(Result!D46-Stat!K19)*(Result!D46+Stat!K19)-(Result!D46+Stat!K19)*Result!D46))</f>
        <v>0</v>
      </c>
      <c r="L29" s="206">
        <f>SQRT((1/18)*((Result!E46+Stat!L19)^2+(Result!E46-Stat!L19)^2+(Result!E46)^2-(Result!E46-Stat!L19)*Result!E46-(Result!E46-Stat!L19)*(Result!E46+Stat!L19)-(Result!E46+Stat!L19)*Result!E46))</f>
        <v>0</v>
      </c>
      <c r="M29" s="206">
        <f>SQRT((1/18)*((Result!F46+Stat!M19)^2+(Result!F46-Stat!M19)^2+(Result!F46)^2-(Result!F46-Stat!M19)*Result!F46-(Result!F46-Stat!M19)*(Result!F46+Stat!M19)-(Result!F46+Stat!M19)*Result!F46))</f>
        <v>0</v>
      </c>
      <c r="N29" s="206">
        <f>SQRT((1/18)*((Result!G46+Stat!N19)^2+(Result!G46-Stat!N19)^2+(Result!G46)^2-(Result!G46-Stat!N19)*Result!G46-(Result!G46-Stat!N19)*(Result!G46+Stat!N19)-(Result!G46+Stat!N19)*Result!G46))</f>
        <v>0</v>
      </c>
      <c r="O29" s="206">
        <f>SQRT((1/18)*((Result!H46+Stat!O19)^2+(Result!H46-Stat!O19)^2+(Result!H46)^2-(Result!H46-Stat!O19)*Result!H46-(Result!H46-Stat!O19)*(Result!H46+Stat!O19)-(Result!H46+Stat!O19)*Result!H46))</f>
        <v>0</v>
      </c>
      <c r="P29" s="206">
        <f>SQRT((1/18)*((Result!I46+Stat!P19)^2+(Result!I46-Stat!P19)^2+(Result!I46)^2-(Result!I46-Stat!P19)*Result!I46-(Result!I46-Stat!P19)*(Result!I46+Stat!P19)-(Result!I46+Stat!P19)*Result!I46))</f>
        <v>0</v>
      </c>
      <c r="Q29" s="206">
        <f>SQRT((1/18)*((Result!J46+Stat!Q19)^2+(Result!J46-Stat!Q19)^2+(Result!J46)^2-(Result!J46-Stat!Q19)*Result!J46-(Result!J46-Stat!Q19)*(Result!J46+Stat!Q19)-(Result!J46+Stat!Q19)*Result!J46))</f>
        <v>0</v>
      </c>
      <c r="S29" s="209">
        <f t="shared" si="21"/>
        <v>0.9</v>
      </c>
      <c r="T29" s="209">
        <f t="shared" si="22"/>
        <v>0.9</v>
      </c>
      <c r="U29" s="209">
        <f t="shared" si="23"/>
        <v>0.9</v>
      </c>
      <c r="V29" s="209">
        <f t="shared" si="24"/>
        <v>0.9</v>
      </c>
      <c r="W29" s="209">
        <f t="shared" si="25"/>
        <v>0.9</v>
      </c>
      <c r="X29" s="209">
        <f t="shared" si="26"/>
        <v>0.9</v>
      </c>
      <c r="Y29" s="209">
        <f t="shared" si="27"/>
        <v>0.9</v>
      </c>
      <c r="Z29" s="209">
        <f t="shared" si="28"/>
        <v>0.9</v>
      </c>
    </row>
    <row r="30" spans="10:26" ht="12.75">
      <c r="J30" s="206">
        <f>SQRT((1/18)*((Result!C47+Stat!J20)^2+(Result!C47-Stat!J20)^2+(Result!C47)^2-(Result!C47-Stat!J20)*Result!C47-(Result!C47-Stat!J20)*(Result!C47+Stat!J20)-(Result!C47+Stat!J20)*Result!C47))</f>
        <v>0</v>
      </c>
      <c r="K30" s="206">
        <f>SQRT((1/18)*((Result!D47+Stat!K20)^2+(Result!D47-Stat!K20)^2+(Result!D47)^2-(Result!D47-Stat!K20)*Result!D47-(Result!D47-Stat!K20)*(Result!D47+Stat!K20)-(Result!D47+Stat!K20)*Result!D47))</f>
        <v>0</v>
      </c>
      <c r="L30" s="206">
        <f>SQRT((1/18)*((Result!E47+Stat!L20)^2+(Result!E47-Stat!L20)^2+(Result!E47)^2-(Result!E47-Stat!L20)*Result!E47-(Result!E47-Stat!L20)*(Result!E47+Stat!L20)-(Result!E47+Stat!L20)*Result!E47))</f>
        <v>0</v>
      </c>
      <c r="M30" s="206">
        <f>SQRT((1/18)*((Result!F47+Stat!M20)^2+(Result!F47-Stat!M20)^2+(Result!F47)^2-(Result!F47-Stat!M20)*Result!F47-(Result!F47-Stat!M20)*(Result!F47+Stat!M20)-(Result!F47+Stat!M20)*Result!F47))</f>
        <v>0</v>
      </c>
      <c r="N30" s="206">
        <f>SQRT((1/18)*((Result!G47+Stat!N20)^2+(Result!G47-Stat!N20)^2+(Result!G47)^2-(Result!G47-Stat!N20)*Result!G47-(Result!G47-Stat!N20)*(Result!G47+Stat!N20)-(Result!G47+Stat!N20)*Result!G47))</f>
        <v>0</v>
      </c>
      <c r="O30" s="206">
        <f>SQRT((1/18)*((Result!H47+Stat!O20)^2+(Result!H47-Stat!O20)^2+(Result!H47)^2-(Result!H47-Stat!O20)*Result!H47-(Result!H47-Stat!O20)*(Result!H47+Stat!O20)-(Result!H47+Stat!O20)*Result!H47))</f>
        <v>0</v>
      </c>
      <c r="P30" s="206">
        <f>SQRT((1/18)*((Result!I47+Stat!P20)^2+(Result!I47-Stat!P20)^2+(Result!I47)^2-(Result!I47-Stat!P20)*Result!I47-(Result!I47-Stat!P20)*(Result!I47+Stat!P20)-(Result!I47+Stat!P20)*Result!I47))</f>
        <v>0</v>
      </c>
      <c r="Q30" s="206">
        <f>SQRT((1/18)*((Result!J47+Stat!Q20)^2+(Result!J47-Stat!Q20)^2+(Result!J47)^2-(Result!J47-Stat!Q20)*Result!J47-(Result!J47-Stat!Q20)*(Result!J47+Stat!Q20)-(Result!J47+Stat!Q20)*Result!J47))</f>
        <v>0</v>
      </c>
      <c r="S30" s="209">
        <f t="shared" si="21"/>
        <v>0.9</v>
      </c>
      <c r="T30" s="209">
        <f t="shared" si="22"/>
        <v>0.9</v>
      </c>
      <c r="U30" s="209">
        <f t="shared" si="23"/>
        <v>0.9</v>
      </c>
      <c r="V30" s="209">
        <f t="shared" si="24"/>
        <v>0.9</v>
      </c>
      <c r="W30" s="209">
        <f t="shared" si="25"/>
        <v>0.9</v>
      </c>
      <c r="X30" s="209">
        <f t="shared" si="26"/>
        <v>0.9</v>
      </c>
      <c r="Y30" s="209">
        <f t="shared" si="27"/>
        <v>0.9</v>
      </c>
      <c r="Z30" s="209">
        <f t="shared" si="28"/>
        <v>0.9</v>
      </c>
    </row>
    <row r="31" spans="10:17" ht="12.75">
      <c r="J31" s="206">
        <f aca="true" t="shared" si="29" ref="J31:Q31">SUM(J22:J30)</f>
        <v>0</v>
      </c>
      <c r="K31" s="206">
        <f t="shared" si="29"/>
        <v>0</v>
      </c>
      <c r="L31" s="206">
        <f t="shared" si="29"/>
        <v>0</v>
      </c>
      <c r="M31" s="206">
        <f t="shared" si="29"/>
        <v>0</v>
      </c>
      <c r="N31" s="206">
        <f t="shared" si="29"/>
        <v>0</v>
      </c>
      <c r="O31" s="206">
        <f t="shared" si="29"/>
        <v>0</v>
      </c>
      <c r="P31" s="206">
        <f t="shared" si="29"/>
        <v>0</v>
      </c>
      <c r="Q31" s="206">
        <f t="shared" si="29"/>
        <v>0</v>
      </c>
    </row>
    <row r="32" ht="12.75">
      <c r="K32" s="206" t="s">
        <v>357</v>
      </c>
    </row>
    <row r="33" spans="11:20" ht="12.75">
      <c r="K33" s="206" t="s">
        <v>331</v>
      </c>
      <c r="L33" s="206">
        <v>1</v>
      </c>
      <c r="M33" s="206">
        <v>2</v>
      </c>
      <c r="N33" s="206">
        <v>3</v>
      </c>
      <c r="O33" s="206">
        <v>4</v>
      </c>
      <c r="P33" s="206">
        <v>5</v>
      </c>
      <c r="Q33" s="206">
        <v>6</v>
      </c>
      <c r="R33" s="206">
        <v>7</v>
      </c>
      <c r="S33" s="206">
        <v>8</v>
      </c>
      <c r="T33" s="206" t="s">
        <v>332</v>
      </c>
    </row>
    <row r="34" spans="11:20" ht="12.75">
      <c r="K34" s="206" t="s">
        <v>333</v>
      </c>
      <c r="L34" s="206">
        <v>0.05276678559844306</v>
      </c>
      <c r="M34" s="206">
        <v>0.2921900755982493</v>
      </c>
      <c r="N34" s="206">
        <v>0.08517782351748426</v>
      </c>
      <c r="O34" s="206">
        <v>0.08319472176217105</v>
      </c>
      <c r="P34" s="206">
        <v>0.036925601588141656</v>
      </c>
      <c r="Q34" s="206">
        <v>0.18144260097968506</v>
      </c>
      <c r="R34" s="206">
        <v>0.11770052566743973</v>
      </c>
      <c r="S34" s="206">
        <v>0.03055944821668906</v>
      </c>
      <c r="T34" s="206">
        <v>0.10999469786603788</v>
      </c>
    </row>
    <row r="35" spans="11:20" ht="12.75">
      <c r="K35" s="206" t="s">
        <v>334</v>
      </c>
      <c r="L35" s="206">
        <v>0.05578981511514758</v>
      </c>
      <c r="M35" s="206">
        <v>0.06775422042857955</v>
      </c>
      <c r="N35" s="206">
        <v>0.15632635845561815</v>
      </c>
      <c r="O35" s="206">
        <v>0.1366376887219763</v>
      </c>
      <c r="P35" s="206">
        <v>0.1054381635709587</v>
      </c>
      <c r="Q35" s="206">
        <v>0.06048086699322836</v>
      </c>
      <c r="R35" s="206">
        <v>0.023764296610949733</v>
      </c>
      <c r="S35" s="206">
        <v>0.07118553819887569</v>
      </c>
      <c r="T35" s="206">
        <v>0.08467211851191675</v>
      </c>
    </row>
    <row r="36" spans="11:20" ht="12.75">
      <c r="K36" s="206" t="s">
        <v>335</v>
      </c>
      <c r="L36" s="206">
        <v>0.12751216347713268</v>
      </c>
      <c r="M36" s="206">
        <v>0.06351958165179332</v>
      </c>
      <c r="N36" s="206">
        <v>0.2595418387179814</v>
      </c>
      <c r="O36" s="206">
        <v>0.33057505335962006</v>
      </c>
      <c r="P36" s="206">
        <v>0.3025230009630883</v>
      </c>
      <c r="Q36" s="206">
        <v>0.06048086699322836</v>
      </c>
      <c r="R36" s="206">
        <v>0.0825024637059387</v>
      </c>
      <c r="S36" s="206">
        <v>0.25813745670097343</v>
      </c>
      <c r="T36" s="206">
        <v>0.18559905319621955</v>
      </c>
    </row>
    <row r="37" spans="11:20" ht="12.75">
      <c r="K37" s="206" t="s">
        <v>315</v>
      </c>
      <c r="L37" s="206">
        <v>0.17982484592928966</v>
      </c>
      <c r="M37" s="206">
        <v>0.2035184448360143</v>
      </c>
      <c r="N37" s="206">
        <v>0.07367877362924292</v>
      </c>
      <c r="O37" s="206">
        <v>0.05308300946676118</v>
      </c>
      <c r="P37" s="206">
        <v>0.03651159969598364</v>
      </c>
      <c r="Q37" s="206">
        <v>0.05649920991617416</v>
      </c>
      <c r="R37" s="206">
        <v>0.09542444827219985</v>
      </c>
      <c r="S37" s="206">
        <v>0.0275405144315573</v>
      </c>
      <c r="T37" s="206">
        <v>0.09076010577215286</v>
      </c>
    </row>
    <row r="38" spans="11:20" ht="12.75">
      <c r="K38" s="206" t="s">
        <v>336</v>
      </c>
      <c r="L38" s="206">
        <v>0.1837171586117418</v>
      </c>
      <c r="M38" s="206">
        <v>0.1128005456715739</v>
      </c>
      <c r="N38" s="206">
        <v>0.09896070575692434</v>
      </c>
      <c r="O38" s="206">
        <v>0.21662157398557086</v>
      </c>
      <c r="P38" s="206">
        <v>0.31984161333681665</v>
      </c>
      <c r="Q38" s="206">
        <v>0.17620092584027194</v>
      </c>
      <c r="R38" s="206">
        <v>0.151282661894951</v>
      </c>
      <c r="S38" s="206">
        <v>0.22929079456970963</v>
      </c>
      <c r="T38" s="206">
        <v>0.186089497458445</v>
      </c>
    </row>
    <row r="39" spans="11:20" ht="12.75">
      <c r="K39" s="206" t="s">
        <v>337</v>
      </c>
      <c r="L39" s="206">
        <v>0.11988323061952642</v>
      </c>
      <c r="M39" s="206">
        <v>0.08116864662081509</v>
      </c>
      <c r="N39" s="206">
        <v>0.004632011136250198</v>
      </c>
      <c r="O39" s="206">
        <v>0.0068766625900122435</v>
      </c>
      <c r="P39" s="206">
        <v>0.011090398407655029</v>
      </c>
      <c r="Q39" s="206">
        <v>0.010827020205334645</v>
      </c>
      <c r="R39" s="206">
        <v>0.19395213063455255</v>
      </c>
      <c r="S39" s="206">
        <v>0.07941915789565361</v>
      </c>
      <c r="T39" s="206">
        <v>0.06348115726372497</v>
      </c>
    </row>
    <row r="40" spans="11:20" ht="12.75">
      <c r="K40" s="206" t="s">
        <v>338</v>
      </c>
      <c r="L40" s="206">
        <v>0.11287706779111253</v>
      </c>
      <c r="M40" s="206">
        <v>0.07102256579321319</v>
      </c>
      <c r="N40" s="206">
        <v>0.03996953079233441</v>
      </c>
      <c r="O40" s="206">
        <v>0.010545109624710133</v>
      </c>
      <c r="P40" s="206">
        <v>0.024097655799349197</v>
      </c>
      <c r="Q40" s="206">
        <v>0.04133699256578844</v>
      </c>
      <c r="R40" s="206">
        <v>0.035687192036757666</v>
      </c>
      <c r="S40" s="206">
        <v>0.06596913921977679</v>
      </c>
      <c r="T40" s="206">
        <v>0.05018815670288029</v>
      </c>
    </row>
    <row r="41" spans="11:20" ht="12.75">
      <c r="K41" s="206" t="s">
        <v>339</v>
      </c>
      <c r="L41" s="206">
        <v>0.11832630554654555</v>
      </c>
      <c r="M41" s="206">
        <v>0.06326379810151764</v>
      </c>
      <c r="N41" s="206">
        <v>0.17480650213996854</v>
      </c>
      <c r="O41" s="206">
        <v>0.08579072237052311</v>
      </c>
      <c r="P41" s="206">
        <v>0.10953479908795091</v>
      </c>
      <c r="Q41" s="206">
        <v>0.16183671992938023</v>
      </c>
      <c r="R41" s="206">
        <v>0.06749534146082428</v>
      </c>
      <c r="S41" s="206">
        <v>0.12873589304053532</v>
      </c>
      <c r="T41" s="206">
        <v>0.11372376020965569</v>
      </c>
    </row>
    <row r="42" spans="10:20" ht="12.75">
      <c r="J42" s="210"/>
      <c r="K42" s="206" t="s">
        <v>340</v>
      </c>
      <c r="L42" s="206">
        <v>0.029062601362309436</v>
      </c>
      <c r="M42" s="206">
        <v>0.04058432331040754</v>
      </c>
      <c r="N42" s="206">
        <v>0.055620250680899076</v>
      </c>
      <c r="O42" s="206">
        <v>0.06380684976307657</v>
      </c>
      <c r="P42" s="206">
        <v>0.05038600758045742</v>
      </c>
      <c r="Q42" s="206">
        <v>0.1244897845610617</v>
      </c>
      <c r="R42" s="206">
        <v>0.13343906587657214</v>
      </c>
      <c r="S42" s="206">
        <v>0.09671203905035239</v>
      </c>
      <c r="T42" s="206">
        <v>0.07426261527314204</v>
      </c>
    </row>
    <row r="43" spans="11:20" ht="12.75">
      <c r="K43" s="206" t="s">
        <v>342</v>
      </c>
      <c r="L43" s="206">
        <v>0.020240025948751215</v>
      </c>
      <c r="M43" s="206">
        <v>0.00417779798783607</v>
      </c>
      <c r="N43" s="206">
        <v>0.051286205173296545</v>
      </c>
      <c r="O43" s="206">
        <v>0.012868608355578468</v>
      </c>
      <c r="P43" s="206">
        <v>0.0036511599695983636</v>
      </c>
      <c r="Q43" s="206">
        <v>0.12640501201584728</v>
      </c>
      <c r="R43" s="206">
        <v>0.0985276823623527</v>
      </c>
      <c r="S43" s="206">
        <v>0.01409049575568048</v>
      </c>
      <c r="T43" s="206">
        <v>0.041405873446117646</v>
      </c>
    </row>
    <row r="44" spans="11:20" ht="12.75">
      <c r="K44" s="211" t="s">
        <v>356</v>
      </c>
      <c r="L44" s="206">
        <f>L33</f>
        <v>1</v>
      </c>
      <c r="M44" s="206">
        <f aca="true" t="shared" si="30" ref="M44:T44">M33</f>
        <v>2</v>
      </c>
      <c r="N44" s="206">
        <f t="shared" si="30"/>
        <v>3</v>
      </c>
      <c r="O44" s="206">
        <f t="shared" si="30"/>
        <v>4</v>
      </c>
      <c r="P44" s="206">
        <f t="shared" si="30"/>
        <v>5</v>
      </c>
      <c r="Q44" s="206">
        <f t="shared" si="30"/>
        <v>6</v>
      </c>
      <c r="R44" s="206">
        <f t="shared" si="30"/>
        <v>7</v>
      </c>
      <c r="S44" s="206">
        <f t="shared" si="30"/>
        <v>8</v>
      </c>
      <c r="T44" s="206" t="str">
        <f t="shared" si="30"/>
        <v>AVG</v>
      </c>
    </row>
    <row r="45" spans="11:20" ht="12.75">
      <c r="K45" s="211" t="str">
        <f aca="true" t="shared" si="31" ref="K45:K53">A12</f>
        <v>M1 grondkwaliteit</v>
      </c>
      <c r="L45" s="206">
        <f>L34</f>
        <v>0.05276678559844306</v>
      </c>
      <c r="M45" s="206">
        <f aca="true" t="shared" si="32" ref="M45:T45">M34</f>
        <v>0.2921900755982493</v>
      </c>
      <c r="N45" s="206">
        <f t="shared" si="32"/>
        <v>0.08517782351748426</v>
      </c>
      <c r="O45" s="206">
        <f t="shared" si="32"/>
        <v>0.08319472176217105</v>
      </c>
      <c r="P45" s="206">
        <f t="shared" si="32"/>
        <v>0.036925601588141656</v>
      </c>
      <c r="Q45" s="206">
        <f t="shared" si="32"/>
        <v>0.18144260097968506</v>
      </c>
      <c r="R45" s="206">
        <f t="shared" si="32"/>
        <v>0.11770052566743973</v>
      </c>
      <c r="S45" s="206">
        <f t="shared" si="32"/>
        <v>0.03055944821668906</v>
      </c>
      <c r="T45" s="206">
        <f t="shared" si="32"/>
        <v>0.10999469786603788</v>
      </c>
    </row>
    <row r="46" spans="11:20" ht="12.75">
      <c r="K46" s="211" t="str">
        <f t="shared" si="31"/>
        <v>M2 grondwaterkwaliteit</v>
      </c>
      <c r="L46" s="206">
        <f>L35+L36</f>
        <v>0.18330197859228026</v>
      </c>
      <c r="M46" s="206">
        <f aca="true" t="shared" si="33" ref="M46:T46">M35+M36</f>
        <v>0.13127380208037287</v>
      </c>
      <c r="N46" s="206">
        <f t="shared" si="33"/>
        <v>0.4158681971735996</v>
      </c>
      <c r="O46" s="206">
        <f t="shared" si="33"/>
        <v>0.46721274208159635</v>
      </c>
      <c r="P46" s="206">
        <f t="shared" si="33"/>
        <v>0.407961164534047</v>
      </c>
      <c r="Q46" s="206">
        <f t="shared" si="33"/>
        <v>0.12096173398645672</v>
      </c>
      <c r="R46" s="206">
        <f t="shared" si="33"/>
        <v>0.10626676031688842</v>
      </c>
      <c r="S46" s="206">
        <f t="shared" si="33"/>
        <v>0.3293229948998491</v>
      </c>
      <c r="T46" s="206">
        <f t="shared" si="33"/>
        <v>0.2702711717081363</v>
      </c>
    </row>
    <row r="47" spans="11:20" ht="12.75" hidden="1">
      <c r="K47" s="211" t="str">
        <f t="shared" si="31"/>
        <v>M3 verlies grond</v>
      </c>
      <c r="L47" s="206">
        <f>L37</f>
        <v>0.17982484592928966</v>
      </c>
      <c r="M47" s="206">
        <f aca="true" t="shared" si="34" ref="M47:T47">M37</f>
        <v>0.2035184448360143</v>
      </c>
      <c r="N47" s="206">
        <f t="shared" si="34"/>
        <v>0.07367877362924292</v>
      </c>
      <c r="O47" s="206">
        <f t="shared" si="34"/>
        <v>0.05308300946676118</v>
      </c>
      <c r="P47" s="206">
        <f t="shared" si="34"/>
        <v>0.03651159969598364</v>
      </c>
      <c r="Q47" s="206">
        <f t="shared" si="34"/>
        <v>0.05649920991617416</v>
      </c>
      <c r="R47" s="206">
        <f t="shared" si="34"/>
        <v>0.09542444827219985</v>
      </c>
      <c r="S47" s="206">
        <f t="shared" si="34"/>
        <v>0.0275405144315573</v>
      </c>
      <c r="T47" s="206">
        <f t="shared" si="34"/>
        <v>0.09076010577215286</v>
      </c>
    </row>
    <row r="48" spans="11:20" ht="12.75" hidden="1">
      <c r="K48" s="211" t="str">
        <f t="shared" si="31"/>
        <v>M4 verlies grondwater</v>
      </c>
      <c r="L48" s="206">
        <f aca="true" t="shared" si="35" ref="L48:T53">L38</f>
        <v>0.1837171586117418</v>
      </c>
      <c r="M48" s="206">
        <f t="shared" si="35"/>
        <v>0.1128005456715739</v>
      </c>
      <c r="N48" s="206">
        <f t="shared" si="35"/>
        <v>0.09896070575692434</v>
      </c>
      <c r="O48" s="206">
        <f t="shared" si="35"/>
        <v>0.21662157398557086</v>
      </c>
      <c r="P48" s="206">
        <f t="shared" si="35"/>
        <v>0.31984161333681665</v>
      </c>
      <c r="Q48" s="206">
        <f t="shared" si="35"/>
        <v>0.17620092584027194</v>
      </c>
      <c r="R48" s="206">
        <f t="shared" si="35"/>
        <v>0.151282661894951</v>
      </c>
      <c r="S48" s="206">
        <f t="shared" si="35"/>
        <v>0.22929079456970963</v>
      </c>
      <c r="T48" s="206">
        <f t="shared" si="35"/>
        <v>0.186089497458445</v>
      </c>
    </row>
    <row r="49" spans="11:20" ht="12.75" hidden="1">
      <c r="K49" s="211" t="str">
        <f t="shared" si="31"/>
        <v>M5 energiegebruik</v>
      </c>
      <c r="L49" s="206">
        <f t="shared" si="35"/>
        <v>0.11988323061952642</v>
      </c>
      <c r="M49" s="206">
        <f t="shared" si="35"/>
        <v>0.08116864662081509</v>
      </c>
      <c r="N49" s="206">
        <f t="shared" si="35"/>
        <v>0.004632011136250198</v>
      </c>
      <c r="O49" s="206">
        <f t="shared" si="35"/>
        <v>0.0068766625900122435</v>
      </c>
      <c r="P49" s="206">
        <f t="shared" si="35"/>
        <v>0.011090398407655029</v>
      </c>
      <c r="Q49" s="206">
        <f t="shared" si="35"/>
        <v>0.010827020205334645</v>
      </c>
      <c r="R49" s="206">
        <f t="shared" si="35"/>
        <v>0.19395213063455255</v>
      </c>
      <c r="S49" s="206">
        <f t="shared" si="35"/>
        <v>0.07941915789565361</v>
      </c>
      <c r="T49" s="206">
        <f t="shared" si="35"/>
        <v>0.06348115726372497</v>
      </c>
    </row>
    <row r="50" spans="11:20" ht="12.75" hidden="1">
      <c r="K50" s="211" t="str">
        <f t="shared" si="31"/>
        <v>M6 luchtemissies</v>
      </c>
      <c r="L50" s="206">
        <f t="shared" si="35"/>
        <v>0.11287706779111253</v>
      </c>
      <c r="M50" s="206">
        <f t="shared" si="35"/>
        <v>0.07102256579321319</v>
      </c>
      <c r="N50" s="206">
        <f t="shared" si="35"/>
        <v>0.03996953079233441</v>
      </c>
      <c r="O50" s="206">
        <f t="shared" si="35"/>
        <v>0.010545109624710133</v>
      </c>
      <c r="P50" s="206">
        <f t="shared" si="35"/>
        <v>0.024097655799349197</v>
      </c>
      <c r="Q50" s="206">
        <f t="shared" si="35"/>
        <v>0.04133699256578844</v>
      </c>
      <c r="R50" s="206">
        <f t="shared" si="35"/>
        <v>0.035687192036757666</v>
      </c>
      <c r="S50" s="206">
        <f t="shared" si="35"/>
        <v>0.06596913921977679</v>
      </c>
      <c r="T50" s="206">
        <f t="shared" si="35"/>
        <v>0.05018815670288029</v>
      </c>
    </row>
    <row r="51" spans="11:20" ht="12.75" hidden="1">
      <c r="K51" s="211" t="str">
        <f t="shared" si="31"/>
        <v>M7 opp. wateremissies</v>
      </c>
      <c r="L51" s="206">
        <f t="shared" si="35"/>
        <v>0.11832630554654555</v>
      </c>
      <c r="M51" s="206">
        <f t="shared" si="35"/>
        <v>0.06326379810151764</v>
      </c>
      <c r="N51" s="206">
        <f t="shared" si="35"/>
        <v>0.17480650213996854</v>
      </c>
      <c r="O51" s="206">
        <f t="shared" si="35"/>
        <v>0.08579072237052311</v>
      </c>
      <c r="P51" s="206">
        <f t="shared" si="35"/>
        <v>0.10953479908795091</v>
      </c>
      <c r="Q51" s="206">
        <f t="shared" si="35"/>
        <v>0.16183671992938023</v>
      </c>
      <c r="R51" s="206">
        <f t="shared" si="35"/>
        <v>0.06749534146082428</v>
      </c>
      <c r="S51" s="206">
        <f t="shared" si="35"/>
        <v>0.12873589304053532</v>
      </c>
      <c r="T51" s="206">
        <f t="shared" si="35"/>
        <v>0.11372376020965569</v>
      </c>
    </row>
    <row r="52" spans="11:20" ht="12.75" hidden="1">
      <c r="K52" s="211" t="str">
        <f t="shared" si="31"/>
        <v>M8 afvalvorming</v>
      </c>
      <c r="L52" s="206">
        <f t="shared" si="35"/>
        <v>0.029062601362309436</v>
      </c>
      <c r="M52" s="206">
        <f t="shared" si="35"/>
        <v>0.04058432331040754</v>
      </c>
      <c r="N52" s="206">
        <f t="shared" si="35"/>
        <v>0.055620250680899076</v>
      </c>
      <c r="O52" s="206">
        <f t="shared" si="35"/>
        <v>0.06380684976307657</v>
      </c>
      <c r="P52" s="206">
        <f t="shared" si="35"/>
        <v>0.05038600758045742</v>
      </c>
      <c r="Q52" s="206">
        <f t="shared" si="35"/>
        <v>0.1244897845610617</v>
      </c>
      <c r="R52" s="206">
        <f t="shared" si="35"/>
        <v>0.13343906587657214</v>
      </c>
      <c r="S52" s="206">
        <f t="shared" si="35"/>
        <v>0.09671203905035239</v>
      </c>
      <c r="T52" s="206">
        <f t="shared" si="35"/>
        <v>0.07426261527314204</v>
      </c>
    </row>
    <row r="53" spans="11:20" ht="12.75">
      <c r="K53" s="211" t="str">
        <f t="shared" si="31"/>
        <v>M9 ruimtebeslag</v>
      </c>
      <c r="L53" s="206">
        <f t="shared" si="35"/>
        <v>0.020240025948751215</v>
      </c>
      <c r="M53" s="206">
        <f t="shared" si="35"/>
        <v>0.00417779798783607</v>
      </c>
      <c r="N53" s="206">
        <f t="shared" si="35"/>
        <v>0.051286205173296545</v>
      </c>
      <c r="O53" s="206">
        <f t="shared" si="35"/>
        <v>0.012868608355578468</v>
      </c>
      <c r="P53" s="206">
        <f t="shared" si="35"/>
        <v>0.0036511599695983636</v>
      </c>
      <c r="Q53" s="206">
        <f t="shared" si="35"/>
        <v>0.12640501201584728</v>
      </c>
      <c r="R53" s="206">
        <f t="shared" si="35"/>
        <v>0.0985276823623527</v>
      </c>
      <c r="S53" s="206">
        <f t="shared" si="35"/>
        <v>0.01409049575568048</v>
      </c>
      <c r="T53" s="206">
        <f t="shared" si="35"/>
        <v>0.041405873446117646</v>
      </c>
    </row>
    <row r="54" spans="1:19" ht="12.75">
      <c r="A54" s="107" t="str">
        <f>A7</f>
        <v>Onzekerheid in gewichten</v>
      </c>
      <c r="K54" s="206" t="s">
        <v>358</v>
      </c>
      <c r="L54" s="206" t="str">
        <f aca="true" t="shared" si="36" ref="L54:S54">B55</f>
        <v>Variant I</v>
      </c>
      <c r="M54" s="206" t="str">
        <f t="shared" si="36"/>
        <v>Variant II</v>
      </c>
      <c r="N54" s="206" t="str">
        <f t="shared" si="36"/>
        <v>Variant III</v>
      </c>
      <c r="O54" s="206" t="str">
        <f t="shared" si="36"/>
        <v>Variant IV</v>
      </c>
      <c r="P54" s="206" t="str">
        <f t="shared" si="36"/>
        <v>Variant V</v>
      </c>
      <c r="Q54" s="206" t="str">
        <f t="shared" si="36"/>
        <v>Variant VI</v>
      </c>
      <c r="R54" s="206" t="str">
        <f t="shared" si="36"/>
        <v>Variant VII</v>
      </c>
      <c r="S54" s="206" t="str">
        <f t="shared" si="36"/>
        <v>Nulvariant</v>
      </c>
    </row>
    <row r="55" spans="1:19" ht="12.75">
      <c r="A55" s="20" t="s">
        <v>341</v>
      </c>
      <c r="B55" s="20" t="str">
        <f aca="true" t="shared" si="37" ref="B55:I55">B11</f>
        <v>Variant I</v>
      </c>
      <c r="C55" s="20" t="str">
        <f t="shared" si="37"/>
        <v>Variant II</v>
      </c>
      <c r="D55" s="20" t="str">
        <f t="shared" si="37"/>
        <v>Variant III</v>
      </c>
      <c r="E55" s="20" t="str">
        <f t="shared" si="37"/>
        <v>Variant IV</v>
      </c>
      <c r="F55" s="20" t="str">
        <f t="shared" si="37"/>
        <v>Variant V</v>
      </c>
      <c r="G55" s="20" t="str">
        <f t="shared" si="37"/>
        <v>Variant VI</v>
      </c>
      <c r="H55" s="20" t="str">
        <f t="shared" si="37"/>
        <v>Variant VII</v>
      </c>
      <c r="I55" s="20" t="str">
        <f t="shared" si="37"/>
        <v>Nulvariant</v>
      </c>
      <c r="K55" s="206" t="str">
        <f aca="true" t="shared" si="38" ref="K55:K63">K45</f>
        <v>M1 grondkwaliteit</v>
      </c>
      <c r="L55" s="206">
        <f>Result!C27/Result!$B15</f>
        <v>0</v>
      </c>
      <c r="M55" s="206">
        <f>Result!D27/Result!$B15</f>
        <v>0</v>
      </c>
      <c r="N55" s="206">
        <f>Result!E27/Result!$B15</f>
        <v>0</v>
      </c>
      <c r="O55" s="206">
        <f>Result!F27/Result!$B15</f>
        <v>0</v>
      </c>
      <c r="P55" s="206">
        <f>Result!G27/Result!$B15</f>
        <v>0</v>
      </c>
      <c r="Q55" s="206">
        <f>Result!H27/Result!$B15</f>
        <v>0</v>
      </c>
      <c r="R55" s="206">
        <f>Result!I27/Result!$B15</f>
        <v>0</v>
      </c>
      <c r="S55" s="206">
        <f>Result!J27/Result!$B15</f>
        <v>0</v>
      </c>
    </row>
    <row r="56" spans="1:19" ht="12.75">
      <c r="A56" s="20" t="s">
        <v>343</v>
      </c>
      <c r="B56" s="20" t="str">
        <f>IF(Result!C48&lt;&gt;0,SUMPRODUCT(L$55:L$63,$L$45:$L$53),"-")</f>
        <v>-</v>
      </c>
      <c r="C56" s="20" t="str">
        <f>IF(Result!D48&lt;&gt;0,SUMPRODUCT(M$55:M$63,$L$45:$L$53),"-")</f>
        <v>-</v>
      </c>
      <c r="D56" s="20" t="str">
        <f>IF(Result!E48&lt;&gt;0,SUMPRODUCT(N$55:N$63,$L$45:$L$53),"-")</f>
        <v>-</v>
      </c>
      <c r="E56" s="20" t="str">
        <f>IF(Result!F48&lt;&gt;0,SUMPRODUCT(O$55:O$63,$L$45:$L$53),"-")</f>
        <v>-</v>
      </c>
      <c r="F56" s="20" t="str">
        <f>IF(Result!G48&lt;&gt;0,SUMPRODUCT(P$55:P$63,$L$45:$L$53),"-")</f>
        <v>-</v>
      </c>
      <c r="G56" s="20" t="str">
        <f>IF(Result!H48&lt;&gt;0,SUMPRODUCT(Q$55:Q$63,$L$45:$L$53),"-")</f>
        <v>-</v>
      </c>
      <c r="H56" s="20" t="str">
        <f>IF(Result!I48&lt;&gt;0,SUMPRODUCT(R$55:R$63,$L$45:$L$53),"-")</f>
        <v>-</v>
      </c>
      <c r="I56" s="20" t="str">
        <f>IF(Result!B48&lt;&gt;0,SUMPRODUCT(S$55:S$63,$L$45:$L$53),"-")</f>
        <v>-</v>
      </c>
      <c r="K56" s="206" t="str">
        <f t="shared" si="38"/>
        <v>M2 grondwaterkwaliteit</v>
      </c>
      <c r="L56" s="206">
        <f>Result!C28/Result!$B16</f>
        <v>0</v>
      </c>
      <c r="M56" s="206">
        <f>Result!D28/Result!$B16</f>
        <v>0</v>
      </c>
      <c r="N56" s="206">
        <f>Result!E28/Result!$B16</f>
        <v>0</v>
      </c>
      <c r="O56" s="206">
        <f>Result!F28/Result!$B16</f>
        <v>0</v>
      </c>
      <c r="P56" s="206">
        <f>Result!G28/Result!$B16</f>
        <v>0</v>
      </c>
      <c r="Q56" s="206">
        <f>Result!H28/Result!$B16</f>
        <v>0</v>
      </c>
      <c r="R56" s="206">
        <f>Result!I28/Result!$B16</f>
        <v>0</v>
      </c>
      <c r="S56" s="206">
        <f>Result!J28/Result!$B16</f>
        <v>0</v>
      </c>
    </row>
    <row r="57" spans="1:19" ht="12.75">
      <c r="A57" s="20" t="s">
        <v>344</v>
      </c>
      <c r="B57" s="20" t="str">
        <f>IF(Result!C48&lt;&gt;0,SUMPRODUCT(L$55:L$63,$M$45:$M$53),"-")</f>
        <v>-</v>
      </c>
      <c r="C57" s="20" t="str">
        <f>IF(Result!D48&lt;&gt;0,SUMPRODUCT(M$55:M$63,$M$45:$M$53),"-")</f>
        <v>-</v>
      </c>
      <c r="D57" s="20" t="str">
        <f>IF(Result!E48&lt;&gt;0,SUMPRODUCT(N$55:N$63,$M$45:$M$53),"-")</f>
        <v>-</v>
      </c>
      <c r="E57" s="20" t="str">
        <f>IF(Result!F48&lt;&gt;0,SUMPRODUCT(O$55:O$63,$M$45:$M$53),"-")</f>
        <v>-</v>
      </c>
      <c r="F57" s="20" t="str">
        <f>IF(Result!G48&lt;&gt;0,SUMPRODUCT(P$55:P$63,$M$45:$M$53),"-")</f>
        <v>-</v>
      </c>
      <c r="G57" s="20" t="str">
        <f>IF(Result!H48&lt;&gt;0,SUMPRODUCT(Q$55:Q$63,$M$45:$M$53),"-")</f>
        <v>-</v>
      </c>
      <c r="H57" s="20" t="str">
        <f>IF(Result!I48&lt;&gt;0,SUMPRODUCT(R$55:R$63,$M$45:$M$53),"-")</f>
        <v>-</v>
      </c>
      <c r="I57" s="20" t="str">
        <f>IF(Result!B48&lt;&gt;0,SUMPRODUCT(S$55:S$63,$M$45:$M$53),"-")</f>
        <v>-</v>
      </c>
      <c r="K57" s="206" t="str">
        <f t="shared" si="38"/>
        <v>M3 verlies grond</v>
      </c>
      <c r="L57" s="206">
        <f>Result!C29/-Result!$B17</f>
        <v>0</v>
      </c>
      <c r="M57" s="206">
        <f>Result!D29/-Result!$B17</f>
        <v>0</v>
      </c>
      <c r="N57" s="206">
        <f>Result!E29/-Result!$B17</f>
        <v>0</v>
      </c>
      <c r="O57" s="206">
        <f>Result!F29/-Result!$B17</f>
        <v>0</v>
      </c>
      <c r="P57" s="206">
        <f>Result!G29/-Result!$B17</f>
        <v>0</v>
      </c>
      <c r="Q57" s="206">
        <f>Result!H29/-Result!$B17</f>
        <v>0</v>
      </c>
      <c r="R57" s="206">
        <f>Result!I29/-Result!$B17</f>
        <v>0</v>
      </c>
      <c r="S57" s="206">
        <f>Result!J29/-Result!$B17</f>
        <v>0</v>
      </c>
    </row>
    <row r="58" spans="1:19" ht="12.75">
      <c r="A58" s="20" t="s">
        <v>345</v>
      </c>
      <c r="B58" s="20" t="str">
        <f>IF(Result!C48&lt;&gt;0,SUMPRODUCT(L$55:L$63,$N$45:$N$53),"-")</f>
        <v>-</v>
      </c>
      <c r="C58" s="20" t="str">
        <f>IF(Result!D48&lt;&gt;0,SUMPRODUCT(M$55:M$63,$N$45:$N$53),"-")</f>
        <v>-</v>
      </c>
      <c r="D58" s="20" t="str">
        <f>IF(Result!E48&lt;&gt;0,SUMPRODUCT(N$55:N$63,$N$45:$N$53),"-")</f>
        <v>-</v>
      </c>
      <c r="E58" s="20" t="str">
        <f>IF(Result!F48&lt;&gt;0,SUMPRODUCT(O$55:O$63,$N$45:$N$53),"-")</f>
        <v>-</v>
      </c>
      <c r="F58" s="20" t="str">
        <f>IF(Result!G48&lt;&gt;0,SUMPRODUCT(P$55:P$63,$N$45:$N$53),"-")</f>
        <v>-</v>
      </c>
      <c r="G58" s="20" t="str">
        <f>IF(Result!H48&lt;&gt;0,SUMPRODUCT(Q$55:Q$63,$N$45:$N$53),"-")</f>
        <v>-</v>
      </c>
      <c r="H58" s="20" t="str">
        <f>IF(Result!I48&lt;&gt;0,SUMPRODUCT(R$55:R$63,$N$45:$N$53),"-")</f>
        <v>-</v>
      </c>
      <c r="I58" s="20" t="str">
        <f>IF(Result!B48&lt;&gt;0,SUMPRODUCT(S$55:S$63,$N$45:$N$53),"-")</f>
        <v>-</v>
      </c>
      <c r="K58" s="206" t="str">
        <f t="shared" si="38"/>
        <v>M4 verlies grondwater</v>
      </c>
      <c r="L58" s="206">
        <f>Result!C30/-Result!$B18</f>
        <v>0</v>
      </c>
      <c r="M58" s="206">
        <f>Result!D30/-Result!$B18</f>
        <v>0</v>
      </c>
      <c r="N58" s="206">
        <f>Result!E30/-Result!$B18</f>
        <v>0</v>
      </c>
      <c r="O58" s="206">
        <f>Result!F30/-Result!$B18</f>
        <v>0</v>
      </c>
      <c r="P58" s="206">
        <f>Result!G30/-Result!$B18</f>
        <v>0</v>
      </c>
      <c r="Q58" s="206">
        <f>Result!H30/-Result!$B18</f>
        <v>0</v>
      </c>
      <c r="R58" s="206">
        <f>Result!I30/-Result!$B18</f>
        <v>0</v>
      </c>
      <c r="S58" s="206">
        <f>Result!J30/-Result!$B18</f>
        <v>0</v>
      </c>
    </row>
    <row r="59" spans="1:19" ht="12.75">
      <c r="A59" s="20" t="s">
        <v>346</v>
      </c>
      <c r="B59" s="20" t="str">
        <f>IF(Result!C48&lt;&gt;0,SUMPRODUCT(L$55:L$63,$O$45:$O$53),"-")</f>
        <v>-</v>
      </c>
      <c r="C59" s="20" t="str">
        <f>IF(Result!D48&lt;&gt;0,SUMPRODUCT(M$55:M$63,$O$45:$O$53),"-")</f>
        <v>-</v>
      </c>
      <c r="D59" s="20" t="str">
        <f>IF(Result!E48&lt;&gt;0,SUMPRODUCT(N$55:N$63,$O$45:$O$53),"-")</f>
        <v>-</v>
      </c>
      <c r="E59" s="20" t="str">
        <f>IF(Result!F48&lt;&gt;0,SUMPRODUCT(O$55:O$63,$O$45:$O$53),"-")</f>
        <v>-</v>
      </c>
      <c r="F59" s="20" t="str">
        <f>IF(Result!G48&lt;&gt;0,SUMPRODUCT(P$55:P$63,$O$45:$O$53),"-")</f>
        <v>-</v>
      </c>
      <c r="G59" s="20" t="str">
        <f>IF(Result!H48&lt;&gt;0,SUMPRODUCT(Q$55:Q$63,$O$45:$O$53),"-")</f>
        <v>-</v>
      </c>
      <c r="H59" s="20" t="str">
        <f>IF(Result!I48&lt;&gt;0,SUMPRODUCT(R$55:R$63,$O$45:$O$53),"-")</f>
        <v>-</v>
      </c>
      <c r="I59" s="20" t="str">
        <f>IF(Result!B48&lt;&gt;0,SUMPRODUCT(S$55:S$63,$O$45:$O$53),"-")</f>
        <v>-</v>
      </c>
      <c r="K59" s="206" t="str">
        <f t="shared" si="38"/>
        <v>M5 energiegebruik</v>
      </c>
      <c r="L59" s="206">
        <f>Result!C31/-Result!$B19</f>
        <v>0</v>
      </c>
      <c r="M59" s="206">
        <f>Result!D31/-Result!$B19</f>
        <v>0</v>
      </c>
      <c r="N59" s="206">
        <f>Result!E31/-Result!$B19</f>
        <v>0</v>
      </c>
      <c r="O59" s="206">
        <f>Result!F31/-Result!$B19</f>
        <v>0</v>
      </c>
      <c r="P59" s="206">
        <f>Result!G31/-Result!$B19</f>
        <v>0</v>
      </c>
      <c r="Q59" s="206">
        <f>Result!H31/-Result!$B19</f>
        <v>0</v>
      </c>
      <c r="R59" s="206">
        <f>Result!I31/-Result!$B19</f>
        <v>0</v>
      </c>
      <c r="S59" s="206">
        <f>Result!J31/-Result!$B19</f>
        <v>0</v>
      </c>
    </row>
    <row r="60" spans="1:19" ht="12.75">
      <c r="A60" s="20" t="s">
        <v>347</v>
      </c>
      <c r="B60" s="20" t="str">
        <f>IF(Result!C48&lt;&gt;0,SUMPRODUCT(L$55:L$63,$P$45:$P$53),"-")</f>
        <v>-</v>
      </c>
      <c r="C60" s="20" t="str">
        <f>IF(Result!D48&lt;&gt;0,SUMPRODUCT(M$55:M$63,$P$45:$P$53),"-")</f>
        <v>-</v>
      </c>
      <c r="D60" s="20" t="str">
        <f>IF(Result!E48&lt;&gt;0,SUMPRODUCT(N$55:N$63,$P$45:$P$53),"-")</f>
        <v>-</v>
      </c>
      <c r="E60" s="20" t="str">
        <f>IF(Result!F48&lt;&gt;0,SUMPRODUCT(O$55:O$63,$P$45:$P$53),"-")</f>
        <v>-</v>
      </c>
      <c r="F60" s="20" t="str">
        <f>IF(Result!G48&lt;&gt;0,SUMPRODUCT(P$55:P$63,$P$45:$P$53),"-")</f>
        <v>-</v>
      </c>
      <c r="G60" s="20" t="str">
        <f>IF(Result!H48&lt;&gt;0,SUMPRODUCT(Q$55:Q$63,$P$45:$P$53),"-")</f>
        <v>-</v>
      </c>
      <c r="H60" s="20" t="str">
        <f>IF(Result!I48&lt;&gt;0,SUMPRODUCT(R$55:R$63,$P$45:$P$53),"-")</f>
        <v>-</v>
      </c>
      <c r="I60" s="20" t="str">
        <f>IF(Result!B48&lt;&gt;0,SUMPRODUCT(S$55:S$63,$P$45:$P$53),"-")</f>
        <v>-</v>
      </c>
      <c r="K60" s="206" t="str">
        <f t="shared" si="38"/>
        <v>M6 luchtemissies</v>
      </c>
      <c r="L60" s="206">
        <f>Result!C32/-Result!$B20</f>
        <v>0</v>
      </c>
      <c r="M60" s="206">
        <f>Result!D32/-Result!$B20</f>
        <v>0</v>
      </c>
      <c r="N60" s="206">
        <f>Result!E32/-Result!$B20</f>
        <v>0</v>
      </c>
      <c r="O60" s="206">
        <f>Result!F32/-Result!$B20</f>
        <v>0</v>
      </c>
      <c r="P60" s="206">
        <f>Result!G32/-Result!$B20</f>
        <v>0</v>
      </c>
      <c r="Q60" s="206">
        <f>Result!H32/-Result!$B20</f>
        <v>0</v>
      </c>
      <c r="R60" s="206">
        <f>Result!I32/-Result!$B20</f>
        <v>0</v>
      </c>
      <c r="S60" s="206">
        <f>Result!J32/-Result!$B20</f>
        <v>0</v>
      </c>
    </row>
    <row r="61" spans="1:19" ht="12.75">
      <c r="A61" s="20" t="s">
        <v>348</v>
      </c>
      <c r="B61" s="20" t="str">
        <f>IF(Result!C48&lt;&gt;0,SUMPRODUCT(L$55:L$63,$Q$45:$Q$53),"-")</f>
        <v>-</v>
      </c>
      <c r="C61" s="20" t="str">
        <f>IF(Result!D48&lt;&gt;0,SUMPRODUCT(M$55:M$63,$Q$45:$Q$53),"-")</f>
        <v>-</v>
      </c>
      <c r="D61" s="20" t="str">
        <f>IF(Result!E48&lt;&gt;0,SUMPRODUCT(N$55:N$63,$Q$45:$Q$53),"-")</f>
        <v>-</v>
      </c>
      <c r="E61" s="20" t="str">
        <f>IF(Result!F48&lt;&gt;0,SUMPRODUCT(O$55:O$63,$Q$45:$Q$53),"-")</f>
        <v>-</v>
      </c>
      <c r="F61" s="20" t="str">
        <f>IF(Result!G48&lt;&gt;0,SUMPRODUCT(P$55:P$63,$Q$45:$Q$53),"-")</f>
        <v>-</v>
      </c>
      <c r="G61" s="20" t="str">
        <f>IF(Result!H48&lt;&gt;0,SUMPRODUCT(Q$55:Q$63,$Q$45:$Q$53),"-")</f>
        <v>-</v>
      </c>
      <c r="H61" s="20" t="str">
        <f>IF(Result!I48&lt;&gt;0,SUMPRODUCT(R$55:R$63,$Q$45:$Q$53),"-")</f>
        <v>-</v>
      </c>
      <c r="I61" s="20" t="str">
        <f>IF(Result!B48&lt;&gt;0,SUMPRODUCT(S$55:S$63,$Q$45:$Q$53),"-")</f>
        <v>-</v>
      </c>
      <c r="J61" s="212"/>
      <c r="K61" s="206" t="str">
        <f t="shared" si="38"/>
        <v>M7 opp. wateremissies</v>
      </c>
      <c r="L61" s="206">
        <f>Result!C33/-Result!$B21</f>
        <v>0</v>
      </c>
      <c r="M61" s="206">
        <f>Result!D33/-Result!$B21</f>
        <v>0</v>
      </c>
      <c r="N61" s="206">
        <f>Result!E33/-Result!$B21</f>
        <v>0</v>
      </c>
      <c r="O61" s="206">
        <f>Result!F33/-Result!$B21</f>
        <v>0</v>
      </c>
      <c r="P61" s="206">
        <f>Result!G33/-Result!$B21</f>
        <v>0</v>
      </c>
      <c r="Q61" s="206">
        <f>Result!H33/-Result!$B21</f>
        <v>0</v>
      </c>
      <c r="R61" s="206">
        <f>Result!I33/-Result!$B21</f>
        <v>0</v>
      </c>
      <c r="S61" s="206">
        <f>Result!J33/-Result!$B21</f>
        <v>0</v>
      </c>
    </row>
    <row r="62" spans="1:19" ht="12.75">
      <c r="A62" s="20" t="s">
        <v>349</v>
      </c>
      <c r="B62" s="20" t="str">
        <f>IF(Result!C48&lt;&gt;0,SUMPRODUCT(L$55:L$63,$R$45:$R$53),"-")</f>
        <v>-</v>
      </c>
      <c r="C62" s="20" t="str">
        <f>IF(Result!D48&lt;&gt;0,SUMPRODUCT(M$55:M$63,$R$45:$R$53),"-")</f>
        <v>-</v>
      </c>
      <c r="D62" s="20" t="str">
        <f>IF(Result!E48&lt;&gt;0,SUMPRODUCT(N$55:N$63,$R$45:$R$53),"-")</f>
        <v>-</v>
      </c>
      <c r="E62" s="20" t="str">
        <f>IF(Result!F48&lt;&gt;0,SUMPRODUCT(O$55:O$63,$R$45:$R$53),"-")</f>
        <v>-</v>
      </c>
      <c r="F62" s="20" t="str">
        <f>IF(Result!G48&lt;&gt;0,SUMPRODUCT(P$55:P$63,$R$45:$R$53),"-")</f>
        <v>-</v>
      </c>
      <c r="G62" s="20" t="str">
        <f>IF(Result!H48&lt;&gt;0,SUMPRODUCT(Q$55:Q$63,$R$45:$R$53),"-")</f>
        <v>-</v>
      </c>
      <c r="H62" s="20" t="str">
        <f>IF(Result!I48&lt;&gt;0,SUMPRODUCT(R$55:R$63,$R$45:$R$53),"-")</f>
        <v>-</v>
      </c>
      <c r="I62" s="20" t="str">
        <f>IF(Result!B48&lt;&gt;0,SUMPRODUCT(S$55:S$63,$R$45:$R$53),"-")</f>
        <v>-</v>
      </c>
      <c r="J62" s="212"/>
      <c r="K62" s="206" t="str">
        <f t="shared" si="38"/>
        <v>M8 afvalvorming</v>
      </c>
      <c r="L62" s="206">
        <f>Result!C34/-Result!$B22</f>
        <v>0</v>
      </c>
      <c r="M62" s="206">
        <f>Result!D34/-Result!$B22</f>
        <v>0</v>
      </c>
      <c r="N62" s="206">
        <f>Result!E34/-Result!$B22</f>
        <v>0</v>
      </c>
      <c r="O62" s="206">
        <f>Result!F34/-Result!$B22</f>
        <v>0</v>
      </c>
      <c r="P62" s="206">
        <f>Result!G34/-Result!$B22</f>
        <v>0</v>
      </c>
      <c r="Q62" s="206">
        <f>Result!H34/-Result!$B22</f>
        <v>0</v>
      </c>
      <c r="R62" s="206">
        <f>Result!I34/-Result!$B22</f>
        <v>0</v>
      </c>
      <c r="S62" s="206">
        <f>Result!J34/-Result!$B22</f>
        <v>0</v>
      </c>
    </row>
    <row r="63" spans="1:19" ht="12.75">
      <c r="A63" s="20" t="s">
        <v>350</v>
      </c>
      <c r="B63" s="20" t="str">
        <f>IF(Result!C48&lt;&gt;0,SUMPRODUCT(L$55:L$63,$S$45:$S$53),"-")</f>
        <v>-</v>
      </c>
      <c r="C63" s="20" t="str">
        <f>IF(Result!D48&lt;&gt;0,SUMPRODUCT(M$55:M$63,$S$45:$S$53),"-")</f>
        <v>-</v>
      </c>
      <c r="D63" s="20" t="str">
        <f>IF(Result!E48&lt;&gt;0,SUMPRODUCT(N$55:N$63,$S$45:$S$53),"-")</f>
        <v>-</v>
      </c>
      <c r="E63" s="20" t="str">
        <f>IF(Result!F48&lt;&gt;0,SUMPRODUCT(O$55:O$63,$S$45:$S$53),"-")</f>
        <v>-</v>
      </c>
      <c r="F63" s="20" t="str">
        <f>IF(Result!G48&lt;&gt;0,SUMPRODUCT(P$55:P$63,$S$45:$S$53),"-")</f>
        <v>-</v>
      </c>
      <c r="G63" s="20" t="str">
        <f>IF(Result!H48&lt;&gt;0,SUMPRODUCT(Q$55:Q$63,$S$45:$S$53),"-")</f>
        <v>-</v>
      </c>
      <c r="H63" s="20" t="str">
        <f>IF(Result!I48&lt;&gt;0,SUMPRODUCT(R$55:R$63,$S$45:$S$53),"-")</f>
        <v>-</v>
      </c>
      <c r="I63" s="20" t="str">
        <f>IF(Result!B48&lt;&gt;0,SUMPRODUCT(S$55:S$63,$S$45:$S$53),"-")</f>
        <v>-</v>
      </c>
      <c r="J63" s="212"/>
      <c r="K63" s="206" t="str">
        <f t="shared" si="38"/>
        <v>M9 ruimtebeslag</v>
      </c>
      <c r="L63" s="206">
        <f>Result!C35/-Result!$B23</f>
        <v>0</v>
      </c>
      <c r="M63" s="206">
        <f>Result!D35/-Result!$B23</f>
        <v>0</v>
      </c>
      <c r="N63" s="206">
        <f>Result!E35/-Result!$B23</f>
        <v>0</v>
      </c>
      <c r="O63" s="206">
        <f>Result!F35/-Result!$B23</f>
        <v>0</v>
      </c>
      <c r="P63" s="206">
        <f>Result!G35/-Result!$B23</f>
        <v>0</v>
      </c>
      <c r="Q63" s="206">
        <f>Result!H35/-Result!$B23</f>
        <v>0</v>
      </c>
      <c r="R63" s="206">
        <f>Result!I35/-Result!$B23</f>
        <v>0</v>
      </c>
      <c r="S63" s="206">
        <f>Result!J35/-Result!$B23</f>
        <v>0</v>
      </c>
    </row>
    <row r="64" spans="1:10" ht="12.75">
      <c r="A64" s="20" t="str">
        <f>A75</f>
        <v>Gemiddeld</v>
      </c>
      <c r="B64" s="20" t="str">
        <f>IF(Result!C48&lt;&gt;0,SUMPRODUCT(L$55:L$63,$T$45:$T$53),"-")</f>
        <v>-</v>
      </c>
      <c r="C64" s="20" t="str">
        <f>IF(Result!D48&lt;&gt;0,SUMPRODUCT(M$55:M$63,$T$45:$T$53),"-")</f>
        <v>-</v>
      </c>
      <c r="D64" s="20" t="str">
        <f>IF(Result!E48&lt;&gt;0,SUMPRODUCT(N$55:N$63,$T$45:$T$53),"-")</f>
        <v>-</v>
      </c>
      <c r="E64" s="20" t="str">
        <f>IF(Result!F48&lt;&gt;0,SUMPRODUCT(O$55:O$63,$T$45:$T$53),"-")</f>
        <v>-</v>
      </c>
      <c r="F64" s="20" t="str">
        <f>IF(Result!G48&lt;&gt;0,SUMPRODUCT(P$55:P$63,$T$45:$T$53),"-")</f>
        <v>-</v>
      </c>
      <c r="G64" s="20" t="str">
        <f>IF(Result!H48&lt;&gt;0,SUMPRODUCT(Q$55:Q$63,$T$45:$T$53),"-")</f>
        <v>-</v>
      </c>
      <c r="H64" s="20" t="str">
        <f>IF(Result!I48&lt;&gt;0,SUMPRODUCT(R$55:R$63,$T$45:$T$53),"-")</f>
        <v>-</v>
      </c>
      <c r="I64" s="20" t="str">
        <f>IF(Result!B48&lt;&gt;0,SUMPRODUCT(S$55:S$63,$T$45:$T$53),"-")</f>
        <v>-</v>
      </c>
      <c r="J64" s="212"/>
    </row>
    <row r="65" ht="12.75">
      <c r="J65" s="212"/>
    </row>
    <row r="66" spans="1:10" ht="12.75">
      <c r="A66" s="107" t="s">
        <v>351</v>
      </c>
      <c r="B66" s="20" t="s">
        <v>352</v>
      </c>
      <c r="C66" s="20" t="s">
        <v>353</v>
      </c>
      <c r="D66" s="20" t="s">
        <v>354</v>
      </c>
      <c r="J66" s="212"/>
    </row>
    <row r="67" spans="1:10" ht="12.75">
      <c r="A67" s="20" t="str">
        <f aca="true" t="shared" si="39" ref="A67:A74">A56</f>
        <v>Expert 1</v>
      </c>
      <c r="B67" s="20" t="e">
        <f aca="true" t="shared" si="40" ref="B67:B75">INDEX($B$55:$I$55,1,MATCH(1,$L70:$S70,0))</f>
        <v>#N/A</v>
      </c>
      <c r="C67" s="20" t="e">
        <f aca="true" t="shared" si="41" ref="C67:C75">INDEX($B$55:$I$55,1,MATCH(2,$L70:$S70,0))</f>
        <v>#N/A</v>
      </c>
      <c r="D67" s="20" t="e">
        <f aca="true" t="shared" si="42" ref="D67:D75">INDEX($B$55:$I$55,1,MATCH(3,$L70:$S70,0))</f>
        <v>#N/A</v>
      </c>
      <c r="J67" s="212"/>
    </row>
    <row r="68" spans="1:10" ht="12.75">
      <c r="A68" s="20" t="str">
        <f t="shared" si="39"/>
        <v>Expert 2</v>
      </c>
      <c r="B68" s="20" t="e">
        <f t="shared" si="40"/>
        <v>#N/A</v>
      </c>
      <c r="C68" s="20" t="e">
        <f t="shared" si="41"/>
        <v>#N/A</v>
      </c>
      <c r="D68" s="20" t="e">
        <f t="shared" si="42"/>
        <v>#N/A</v>
      </c>
      <c r="J68" s="212"/>
    </row>
    <row r="69" spans="1:19" ht="12.75">
      <c r="A69" s="20" t="str">
        <f t="shared" si="39"/>
        <v>Expert 3</v>
      </c>
      <c r="B69" s="20" t="e">
        <f t="shared" si="40"/>
        <v>#N/A</v>
      </c>
      <c r="C69" s="20" t="e">
        <f t="shared" si="41"/>
        <v>#N/A</v>
      </c>
      <c r="D69" s="20" t="e">
        <f t="shared" si="42"/>
        <v>#N/A</v>
      </c>
      <c r="J69" s="212"/>
      <c r="K69" s="206" t="str">
        <f aca="true" t="shared" si="43" ref="K69:S69">A55</f>
        <v>Milieuverdienst-index per expert</v>
      </c>
      <c r="L69" s="206" t="str">
        <f t="shared" si="43"/>
        <v>Variant I</v>
      </c>
      <c r="M69" s="206" t="str">
        <f t="shared" si="43"/>
        <v>Variant II</v>
      </c>
      <c r="N69" s="206" t="str">
        <f t="shared" si="43"/>
        <v>Variant III</v>
      </c>
      <c r="O69" s="206" t="str">
        <f t="shared" si="43"/>
        <v>Variant IV</v>
      </c>
      <c r="P69" s="206" t="str">
        <f t="shared" si="43"/>
        <v>Variant V</v>
      </c>
      <c r="Q69" s="206" t="str">
        <f t="shared" si="43"/>
        <v>Variant VI</v>
      </c>
      <c r="R69" s="206" t="str">
        <f t="shared" si="43"/>
        <v>Variant VII</v>
      </c>
      <c r="S69" s="206" t="str">
        <f t="shared" si="43"/>
        <v>Nulvariant</v>
      </c>
    </row>
    <row r="70" spans="1:19" ht="12.75">
      <c r="A70" s="20" t="str">
        <f t="shared" si="39"/>
        <v>Expert 4</v>
      </c>
      <c r="B70" s="20" t="e">
        <f t="shared" si="40"/>
        <v>#N/A</v>
      </c>
      <c r="C70" s="20" t="e">
        <f t="shared" si="41"/>
        <v>#N/A</v>
      </c>
      <c r="D70" s="20" t="e">
        <f t="shared" si="42"/>
        <v>#N/A</v>
      </c>
      <c r="K70" s="206" t="str">
        <f aca="true" t="shared" si="44" ref="K70:K78">A56</f>
        <v>Expert 1</v>
      </c>
      <c r="L70" s="206" t="e">
        <f aca="true" t="shared" si="45" ref="L70:L78">RANK(B56,$B56:$I56,0)</f>
        <v>#VALUE!</v>
      </c>
      <c r="M70" s="206" t="e">
        <f aca="true" t="shared" si="46" ref="M70:M78">RANK(C56,$B56:$I56,0)</f>
        <v>#VALUE!</v>
      </c>
      <c r="N70" s="206" t="e">
        <f aca="true" t="shared" si="47" ref="N70:N78">RANK(D56,$B56:$I56,0)</f>
        <v>#VALUE!</v>
      </c>
      <c r="O70" s="206" t="e">
        <f aca="true" t="shared" si="48" ref="O70:O78">RANK(E56,$B56:$I56,0)</f>
        <v>#VALUE!</v>
      </c>
      <c r="P70" s="206" t="e">
        <f aca="true" t="shared" si="49" ref="P70:P78">RANK(F56,$B56:$I56,0)</f>
        <v>#VALUE!</v>
      </c>
      <c r="Q70" s="206" t="e">
        <f aca="true" t="shared" si="50" ref="Q70:Q78">RANK(G56,$B56:$I56,0)</f>
        <v>#VALUE!</v>
      </c>
      <c r="R70" s="206" t="e">
        <f aca="true" t="shared" si="51" ref="R70:R78">RANK(H56,$B56:$I56,0)</f>
        <v>#VALUE!</v>
      </c>
      <c r="S70" s="206" t="e">
        <f aca="true" t="shared" si="52" ref="S70:S78">RANK(I56,$B56:$I56,0)</f>
        <v>#VALUE!</v>
      </c>
    </row>
    <row r="71" spans="1:19" ht="12.75">
      <c r="A71" s="20" t="str">
        <f t="shared" si="39"/>
        <v>Expert 5</v>
      </c>
      <c r="B71" s="20" t="e">
        <f t="shared" si="40"/>
        <v>#N/A</v>
      </c>
      <c r="C71" s="20" t="e">
        <f t="shared" si="41"/>
        <v>#N/A</v>
      </c>
      <c r="D71" s="20" t="e">
        <f t="shared" si="42"/>
        <v>#N/A</v>
      </c>
      <c r="K71" s="206" t="str">
        <f t="shared" si="44"/>
        <v>Expert 2</v>
      </c>
      <c r="L71" s="206" t="e">
        <f t="shared" si="45"/>
        <v>#VALUE!</v>
      </c>
      <c r="M71" s="206" t="e">
        <f t="shared" si="46"/>
        <v>#VALUE!</v>
      </c>
      <c r="N71" s="206" t="e">
        <f t="shared" si="47"/>
        <v>#VALUE!</v>
      </c>
      <c r="O71" s="206" t="e">
        <f t="shared" si="48"/>
        <v>#VALUE!</v>
      </c>
      <c r="P71" s="206" t="e">
        <f t="shared" si="49"/>
        <v>#VALUE!</v>
      </c>
      <c r="Q71" s="206" t="e">
        <f t="shared" si="50"/>
        <v>#VALUE!</v>
      </c>
      <c r="R71" s="206" t="e">
        <f t="shared" si="51"/>
        <v>#VALUE!</v>
      </c>
      <c r="S71" s="206" t="e">
        <f t="shared" si="52"/>
        <v>#VALUE!</v>
      </c>
    </row>
    <row r="72" spans="1:19" ht="12.75">
      <c r="A72" s="20" t="str">
        <f t="shared" si="39"/>
        <v>Expert 6</v>
      </c>
      <c r="B72" s="20" t="e">
        <f t="shared" si="40"/>
        <v>#N/A</v>
      </c>
      <c r="C72" s="20" t="e">
        <f t="shared" si="41"/>
        <v>#N/A</v>
      </c>
      <c r="D72" s="20" t="e">
        <f t="shared" si="42"/>
        <v>#N/A</v>
      </c>
      <c r="K72" s="206" t="str">
        <f t="shared" si="44"/>
        <v>Expert 3</v>
      </c>
      <c r="L72" s="206" t="e">
        <f t="shared" si="45"/>
        <v>#VALUE!</v>
      </c>
      <c r="M72" s="206" t="e">
        <f t="shared" si="46"/>
        <v>#VALUE!</v>
      </c>
      <c r="N72" s="206" t="e">
        <f t="shared" si="47"/>
        <v>#VALUE!</v>
      </c>
      <c r="O72" s="206" t="e">
        <f t="shared" si="48"/>
        <v>#VALUE!</v>
      </c>
      <c r="P72" s="206" t="e">
        <f t="shared" si="49"/>
        <v>#VALUE!</v>
      </c>
      <c r="Q72" s="206" t="e">
        <f t="shared" si="50"/>
        <v>#VALUE!</v>
      </c>
      <c r="R72" s="206" t="e">
        <f t="shared" si="51"/>
        <v>#VALUE!</v>
      </c>
      <c r="S72" s="206" t="e">
        <f t="shared" si="52"/>
        <v>#VALUE!</v>
      </c>
    </row>
    <row r="73" spans="1:19" ht="12.75">
      <c r="A73" s="20" t="str">
        <f t="shared" si="39"/>
        <v>Expert 7</v>
      </c>
      <c r="B73" s="20" t="e">
        <f t="shared" si="40"/>
        <v>#N/A</v>
      </c>
      <c r="C73" s="20" t="e">
        <f t="shared" si="41"/>
        <v>#N/A</v>
      </c>
      <c r="D73" s="20" t="e">
        <f t="shared" si="42"/>
        <v>#N/A</v>
      </c>
      <c r="K73" s="206" t="str">
        <f t="shared" si="44"/>
        <v>Expert 4</v>
      </c>
      <c r="L73" s="206" t="e">
        <f t="shared" si="45"/>
        <v>#VALUE!</v>
      </c>
      <c r="M73" s="206" t="e">
        <f t="shared" si="46"/>
        <v>#VALUE!</v>
      </c>
      <c r="N73" s="206" t="e">
        <f t="shared" si="47"/>
        <v>#VALUE!</v>
      </c>
      <c r="O73" s="206" t="e">
        <f t="shared" si="48"/>
        <v>#VALUE!</v>
      </c>
      <c r="P73" s="206" t="e">
        <f t="shared" si="49"/>
        <v>#VALUE!</v>
      </c>
      <c r="Q73" s="206" t="e">
        <f t="shared" si="50"/>
        <v>#VALUE!</v>
      </c>
      <c r="R73" s="206" t="e">
        <f t="shared" si="51"/>
        <v>#VALUE!</v>
      </c>
      <c r="S73" s="206" t="e">
        <f t="shared" si="52"/>
        <v>#VALUE!</v>
      </c>
    </row>
    <row r="74" spans="1:19" ht="12.75">
      <c r="A74" s="20" t="str">
        <f t="shared" si="39"/>
        <v>Expert 8</v>
      </c>
      <c r="B74" s="20" t="e">
        <f t="shared" si="40"/>
        <v>#N/A</v>
      </c>
      <c r="C74" s="20" t="e">
        <f t="shared" si="41"/>
        <v>#N/A</v>
      </c>
      <c r="D74" s="20" t="e">
        <f t="shared" si="42"/>
        <v>#N/A</v>
      </c>
      <c r="K74" s="206" t="str">
        <f t="shared" si="44"/>
        <v>Expert 5</v>
      </c>
      <c r="L74" s="206" t="e">
        <f t="shared" si="45"/>
        <v>#VALUE!</v>
      </c>
      <c r="M74" s="206" t="e">
        <f t="shared" si="46"/>
        <v>#VALUE!</v>
      </c>
      <c r="N74" s="206" t="e">
        <f t="shared" si="47"/>
        <v>#VALUE!</v>
      </c>
      <c r="O74" s="206" t="e">
        <f t="shared" si="48"/>
        <v>#VALUE!</v>
      </c>
      <c r="P74" s="206" t="e">
        <f t="shared" si="49"/>
        <v>#VALUE!</v>
      </c>
      <c r="Q74" s="206" t="e">
        <f t="shared" si="50"/>
        <v>#VALUE!</v>
      </c>
      <c r="R74" s="206" t="e">
        <f t="shared" si="51"/>
        <v>#VALUE!</v>
      </c>
      <c r="S74" s="206" t="e">
        <f t="shared" si="52"/>
        <v>#VALUE!</v>
      </c>
    </row>
    <row r="75" spans="1:19" ht="12.75">
      <c r="A75" s="20" t="s">
        <v>355</v>
      </c>
      <c r="B75" s="20" t="e">
        <f t="shared" si="40"/>
        <v>#N/A</v>
      </c>
      <c r="C75" s="20" t="e">
        <f t="shared" si="41"/>
        <v>#N/A</v>
      </c>
      <c r="D75" s="20" t="e">
        <f t="shared" si="42"/>
        <v>#N/A</v>
      </c>
      <c r="K75" s="206" t="str">
        <f t="shared" si="44"/>
        <v>Expert 6</v>
      </c>
      <c r="L75" s="206" t="e">
        <f t="shared" si="45"/>
        <v>#VALUE!</v>
      </c>
      <c r="M75" s="206" t="e">
        <f t="shared" si="46"/>
        <v>#VALUE!</v>
      </c>
      <c r="N75" s="206" t="e">
        <f t="shared" si="47"/>
        <v>#VALUE!</v>
      </c>
      <c r="O75" s="206" t="e">
        <f t="shared" si="48"/>
        <v>#VALUE!</v>
      </c>
      <c r="P75" s="206" t="e">
        <f t="shared" si="49"/>
        <v>#VALUE!</v>
      </c>
      <c r="Q75" s="206" t="e">
        <f t="shared" si="50"/>
        <v>#VALUE!</v>
      </c>
      <c r="R75" s="206" t="e">
        <f t="shared" si="51"/>
        <v>#VALUE!</v>
      </c>
      <c r="S75" s="206" t="e">
        <f t="shared" si="52"/>
        <v>#VALUE!</v>
      </c>
    </row>
    <row r="76" spans="11:19" ht="12.75">
      <c r="K76" s="206" t="str">
        <f t="shared" si="44"/>
        <v>Expert 7</v>
      </c>
      <c r="L76" s="206" t="e">
        <f t="shared" si="45"/>
        <v>#VALUE!</v>
      </c>
      <c r="M76" s="206" t="e">
        <f t="shared" si="46"/>
        <v>#VALUE!</v>
      </c>
      <c r="N76" s="206" t="e">
        <f t="shared" si="47"/>
        <v>#VALUE!</v>
      </c>
      <c r="O76" s="206" t="e">
        <f t="shared" si="48"/>
        <v>#VALUE!</v>
      </c>
      <c r="P76" s="206" t="e">
        <f t="shared" si="49"/>
        <v>#VALUE!</v>
      </c>
      <c r="Q76" s="206" t="e">
        <f t="shared" si="50"/>
        <v>#VALUE!</v>
      </c>
      <c r="R76" s="206" t="e">
        <f t="shared" si="51"/>
        <v>#VALUE!</v>
      </c>
      <c r="S76" s="206" t="e">
        <f t="shared" si="52"/>
        <v>#VALUE!</v>
      </c>
    </row>
    <row r="77" spans="11:19" ht="12.75">
      <c r="K77" s="206" t="str">
        <f t="shared" si="44"/>
        <v>Expert 8</v>
      </c>
      <c r="L77" s="206" t="e">
        <f t="shared" si="45"/>
        <v>#VALUE!</v>
      </c>
      <c r="M77" s="206" t="e">
        <f t="shared" si="46"/>
        <v>#VALUE!</v>
      </c>
      <c r="N77" s="206" t="e">
        <f t="shared" si="47"/>
        <v>#VALUE!</v>
      </c>
      <c r="O77" s="206" t="e">
        <f t="shared" si="48"/>
        <v>#VALUE!</v>
      </c>
      <c r="P77" s="206" t="e">
        <f t="shared" si="49"/>
        <v>#VALUE!</v>
      </c>
      <c r="Q77" s="206" t="e">
        <f t="shared" si="50"/>
        <v>#VALUE!</v>
      </c>
      <c r="R77" s="206" t="e">
        <f t="shared" si="51"/>
        <v>#VALUE!</v>
      </c>
      <c r="S77" s="206" t="e">
        <f t="shared" si="52"/>
        <v>#VALUE!</v>
      </c>
    </row>
    <row r="78" spans="11:19" ht="12.75">
      <c r="K78" s="206" t="str">
        <f t="shared" si="44"/>
        <v>Gemiddeld</v>
      </c>
      <c r="L78" s="206" t="e">
        <f t="shared" si="45"/>
        <v>#VALUE!</v>
      </c>
      <c r="M78" s="206" t="e">
        <f t="shared" si="46"/>
        <v>#VALUE!</v>
      </c>
      <c r="N78" s="206" t="e">
        <f t="shared" si="47"/>
        <v>#VALUE!</v>
      </c>
      <c r="O78" s="206" t="e">
        <f t="shared" si="48"/>
        <v>#VALUE!</v>
      </c>
      <c r="P78" s="206" t="e">
        <f t="shared" si="49"/>
        <v>#VALUE!</v>
      </c>
      <c r="Q78" s="206" t="e">
        <f t="shared" si="50"/>
        <v>#VALUE!</v>
      </c>
      <c r="R78" s="206" t="e">
        <f t="shared" si="51"/>
        <v>#VALUE!</v>
      </c>
      <c r="S78" s="206" t="e">
        <f t="shared" si="52"/>
        <v>#VALUE!</v>
      </c>
    </row>
  </sheetData>
  <sheetProtection sheet="1" objects="1" scenarios="1"/>
  <printOptions/>
  <pageMargins left="0.5905511811023623" right="0.5905511811023623" top="0.7874015748031497" bottom="0.5905511811023623" header="0.5118110236220472" footer="0.5118110236220472"/>
  <pageSetup fitToHeight="1" fitToWidth="1" horizontalDpi="300" verticalDpi="300" orientation="portrait" paperSize="9" scale="84" r:id="rId4"/>
  <headerFooter alignWithMargins="0">
    <oddHeader>&amp;C&amp;F</oddHeader>
    <oddFooter>&amp;CMilieuverdienste in RMK</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5">
    <pageSetUpPr fitToPage="1"/>
  </sheetPr>
  <dimension ref="A1:N151"/>
  <sheetViews>
    <sheetView showGridLines="0" zoomScale="90" zoomScaleNormal="90" workbookViewId="0" topLeftCell="A1">
      <selection activeCell="A2" sqref="A2"/>
    </sheetView>
  </sheetViews>
  <sheetFormatPr defaultColWidth="9.140625" defaultRowHeight="12.75"/>
  <cols>
    <col min="1" max="1" width="27.7109375" style="246" customWidth="1"/>
    <col min="2" max="2" width="10.28125" style="54" customWidth="1"/>
    <col min="3" max="3" width="9.421875" style="54" customWidth="1"/>
    <col min="4" max="4" width="11.7109375" style="54" customWidth="1"/>
    <col min="5" max="5" width="8.00390625" style="54" customWidth="1"/>
    <col min="6" max="6" width="9.421875" style="54" customWidth="1"/>
    <col min="7" max="7" width="10.140625" style="54" customWidth="1"/>
    <col min="8" max="8" width="10.8515625" style="54" customWidth="1"/>
    <col min="9" max="9" width="0" style="54" hidden="1" customWidth="1"/>
    <col min="10" max="10" width="6.28125" style="54" hidden="1" customWidth="1"/>
    <col min="11" max="12" width="5.140625" style="54" hidden="1" customWidth="1"/>
    <col min="13" max="15" width="8.8515625" style="54" customWidth="1"/>
    <col min="16" max="16" width="13.421875" style="54" customWidth="1"/>
    <col min="17" max="17" width="10.57421875" style="54" customWidth="1"/>
    <col min="18" max="16384" width="8.8515625" style="54" customWidth="1"/>
  </cols>
  <sheetData>
    <row r="1" spans="1:2" ht="18">
      <c r="A1" s="75" t="s">
        <v>399</v>
      </c>
      <c r="B1" s="244" t="s">
        <v>41</v>
      </c>
    </row>
    <row r="2" ht="12.75"/>
    <row r="3" ht="12.75">
      <c r="A3" s="197" t="str">
        <f>Huidig!A3</f>
        <v>Terug naar inhoud:</v>
      </c>
    </row>
    <row r="4" ht="12.75">
      <c r="A4" s="245" t="s">
        <v>42</v>
      </c>
    </row>
    <row r="5" ht="12.75">
      <c r="A5" s="245" t="s">
        <v>20</v>
      </c>
    </row>
    <row r="6" ht="12.75">
      <c r="A6" s="246" t="s">
        <v>320</v>
      </c>
    </row>
    <row r="7" ht="12.75">
      <c r="A7" s="246" t="s">
        <v>321</v>
      </c>
    </row>
    <row r="8" ht="12.75">
      <c r="A8" s="246" t="s">
        <v>322</v>
      </c>
    </row>
    <row r="9" ht="12.75">
      <c r="A9" s="246" t="s">
        <v>323</v>
      </c>
    </row>
    <row r="10" ht="12.75">
      <c r="A10" s="246" t="s">
        <v>382</v>
      </c>
    </row>
    <row r="11" ht="12.75">
      <c r="A11" s="246" t="s">
        <v>316</v>
      </c>
    </row>
    <row r="12" ht="12.75">
      <c r="A12" s="246" t="s">
        <v>406</v>
      </c>
    </row>
    <row r="13" ht="12.75">
      <c r="A13" s="246" t="s">
        <v>317</v>
      </c>
    </row>
    <row r="14" ht="12.75"/>
    <row r="15" ht="12.75">
      <c r="A15" s="245" t="s">
        <v>296</v>
      </c>
    </row>
    <row r="16" ht="12.75">
      <c r="A16" s="246" t="s">
        <v>277</v>
      </c>
    </row>
    <row r="17" ht="12.75"/>
    <row r="18" ht="12.75"/>
    <row r="19" s="179" customFormat="1" ht="12.75">
      <c r="A19" s="247"/>
    </row>
    <row r="20" s="249" customFormat="1" ht="12.75">
      <c r="A20" s="248"/>
    </row>
    <row r="21" ht="12.75">
      <c r="A21" s="245" t="str">
        <f>A1</f>
        <v>MF-referentie</v>
      </c>
    </row>
    <row r="22" ht="12.75">
      <c r="A22" s="245" t="str">
        <f>A6</f>
        <v>M1 grondkwaliteit</v>
      </c>
    </row>
    <row r="23" spans="1:12" s="129" customFormat="1" ht="24" customHeight="1">
      <c r="A23" s="250" t="str">
        <f>Huidig!A24</f>
        <v>Verontreinigende stof</v>
      </c>
      <c r="B23" s="232" t="str">
        <f>Huidig!B24</f>
        <v>s' [mg/kg]</v>
      </c>
      <c r="C23" s="232" t="str">
        <f>Huidig!C24</f>
        <v>i' [mg/kg]</v>
      </c>
      <c r="D23" s="232" t="s">
        <v>328</v>
      </c>
      <c r="E23" s="232" t="str">
        <f>Huidig!G24</f>
        <v>lut. [%]</v>
      </c>
      <c r="F23" s="232" t="s">
        <v>43</v>
      </c>
      <c r="G23" s="232" t="str">
        <f>Huidig!I24</f>
        <v>Grond- kubels [m3]</v>
      </c>
      <c r="H23" s="232" t="s">
        <v>329</v>
      </c>
      <c r="J23" s="251" t="str">
        <f>Huidig!L24</f>
        <v>s</v>
      </c>
      <c r="K23" s="251" t="str">
        <f>Huidig!M24</f>
        <v>i</v>
      </c>
      <c r="L23" s="251" t="str">
        <f>Huidig!N24</f>
        <v>t'</v>
      </c>
    </row>
    <row r="24" spans="1:12" ht="12.75">
      <c r="A24" s="171">
        <f>IF(Huidig!$O25&gt;1,INDEX(Normen!$A$12:$C$128,Huidig!$O25,1),"")</f>
      </c>
      <c r="B24" s="237">
        <f aca="true" t="shared" si="0" ref="B24:B34">J24</f>
        <v>0</v>
      </c>
      <c r="C24" s="237">
        <f aca="true" t="shared" si="1" ref="C24:C34">K24</f>
        <v>0</v>
      </c>
      <c r="D24" s="252">
        <f>30*0.05*Huidig!D25</f>
        <v>0</v>
      </c>
      <c r="E24" s="71">
        <f>Huidig!G25</f>
        <v>25</v>
      </c>
      <c r="F24" s="71">
        <f>Huidig!S25</f>
        <v>10</v>
      </c>
      <c r="G24" s="71">
        <f aca="true" t="shared" si="2" ref="G24:G34">IF(D24&gt;0,D24/(30*L24),0)</f>
        <v>0</v>
      </c>
      <c r="H24" s="71">
        <f>Huidig!J25-0.0000017*D24/30</f>
        <v>0</v>
      </c>
      <c r="J24" s="53">
        <f>Huidig!B25</f>
        <v>0</v>
      </c>
      <c r="K24" s="53">
        <f>Huidig!C25</f>
        <v>0</v>
      </c>
      <c r="L24" s="53">
        <f>Huidig!N25</f>
        <v>0</v>
      </c>
    </row>
    <row r="25" spans="1:12" ht="12.75">
      <c r="A25" s="171">
        <f>IF(Huidig!$O26&gt;1,INDEX(Normen!$A$12:$C$128,Huidig!$O26,1),"")</f>
      </c>
      <c r="B25" s="237">
        <f t="shared" si="0"/>
        <v>0</v>
      </c>
      <c r="C25" s="237">
        <f t="shared" si="1"/>
        <v>0</v>
      </c>
      <c r="D25" s="252">
        <f>30*0.05*Huidig!D26</f>
        <v>0</v>
      </c>
      <c r="E25" s="71">
        <f>Huidig!G26</f>
        <v>25</v>
      </c>
      <c r="F25" s="71">
        <f>Huidig!S26</f>
        <v>10</v>
      </c>
      <c r="G25" s="71">
        <f t="shared" si="2"/>
        <v>0</v>
      </c>
      <c r="H25" s="71">
        <f>Huidig!J26-0.0000017*D25/30</f>
        <v>0</v>
      </c>
      <c r="J25" s="53">
        <f>Huidig!B26</f>
        <v>0</v>
      </c>
      <c r="K25" s="53">
        <f>Huidig!C26</f>
        <v>0</v>
      </c>
      <c r="L25" s="53">
        <f>Huidig!N26</f>
        <v>0</v>
      </c>
    </row>
    <row r="26" spans="1:12" ht="12.75">
      <c r="A26" s="171">
        <f>IF(Huidig!$O27&gt;1,INDEX(Normen!$A$12:$C$128,Huidig!$O27,1),"")</f>
      </c>
      <c r="B26" s="237">
        <f t="shared" si="0"/>
        <v>0</v>
      </c>
      <c r="C26" s="237">
        <f t="shared" si="1"/>
        <v>0</v>
      </c>
      <c r="D26" s="252">
        <f>30*0.05*Huidig!D27</f>
        <v>0</v>
      </c>
      <c r="E26" s="71">
        <f>Huidig!G27</f>
        <v>25</v>
      </c>
      <c r="F26" s="71">
        <f>Huidig!S27</f>
        <v>10</v>
      </c>
      <c r="G26" s="71">
        <f t="shared" si="2"/>
        <v>0</v>
      </c>
      <c r="H26" s="71">
        <f>Huidig!J27-0.0000017*D26/30</f>
        <v>0</v>
      </c>
      <c r="J26" s="53">
        <f>Huidig!B27</f>
        <v>0</v>
      </c>
      <c r="K26" s="53">
        <f>Huidig!C27</f>
        <v>0</v>
      </c>
      <c r="L26" s="53">
        <f>Huidig!N27</f>
        <v>0</v>
      </c>
    </row>
    <row r="27" spans="1:12" ht="12.75">
      <c r="A27" s="171">
        <f>IF(Huidig!$O28&gt;1,INDEX(Normen!$A$12:$C$128,Huidig!$O28,1),"")</f>
      </c>
      <c r="B27" s="237">
        <f t="shared" si="0"/>
        <v>0</v>
      </c>
      <c r="C27" s="237">
        <f t="shared" si="1"/>
        <v>0</v>
      </c>
      <c r="D27" s="252">
        <f>30*0.05*Huidig!D28</f>
        <v>0</v>
      </c>
      <c r="E27" s="71">
        <f>Huidig!G28</f>
        <v>25</v>
      </c>
      <c r="F27" s="71">
        <f>Huidig!S28</f>
        <v>10</v>
      </c>
      <c r="G27" s="71">
        <f t="shared" si="2"/>
        <v>0</v>
      </c>
      <c r="H27" s="71">
        <f>Huidig!J28-0.0000017*D27/30</f>
        <v>0</v>
      </c>
      <c r="J27" s="53">
        <f>Huidig!B28</f>
        <v>0</v>
      </c>
      <c r="K27" s="53">
        <f>Huidig!C28</f>
        <v>0</v>
      </c>
      <c r="L27" s="53">
        <f>Huidig!N28</f>
        <v>0</v>
      </c>
    </row>
    <row r="28" spans="1:12" ht="12.75">
      <c r="A28" s="171">
        <f>IF(Huidig!$O29&gt;1,INDEX(Normen!$A$12:$C$128,Huidig!$O29,1),"")</f>
      </c>
      <c r="B28" s="237">
        <f t="shared" si="0"/>
        <v>0</v>
      </c>
      <c r="C28" s="237">
        <f t="shared" si="1"/>
        <v>0</v>
      </c>
      <c r="D28" s="252">
        <f>30*0.05*Huidig!D29</f>
        <v>0</v>
      </c>
      <c r="E28" s="71">
        <f>Huidig!G29</f>
        <v>25</v>
      </c>
      <c r="F28" s="71">
        <f>Huidig!S29</f>
        <v>10</v>
      </c>
      <c r="G28" s="71">
        <f t="shared" si="2"/>
        <v>0</v>
      </c>
      <c r="H28" s="71">
        <f>Huidig!J29-0.0000017*D28/30</f>
        <v>0</v>
      </c>
      <c r="J28" s="53">
        <f>Huidig!B29</f>
        <v>0</v>
      </c>
      <c r="K28" s="53">
        <f>Huidig!C29</f>
        <v>0</v>
      </c>
      <c r="L28" s="53">
        <f>Huidig!N29</f>
        <v>0</v>
      </c>
    </row>
    <row r="29" spans="1:12" ht="12.75">
      <c r="A29" s="171">
        <f>IF(Huidig!$O30&gt;1,INDEX(Normen!$A$12:$C$128,Huidig!$O30,1),"")</f>
      </c>
      <c r="B29" s="237">
        <f t="shared" si="0"/>
        <v>0</v>
      </c>
      <c r="C29" s="237">
        <f t="shared" si="1"/>
        <v>0</v>
      </c>
      <c r="D29" s="252">
        <f>30*0.05*Huidig!D30</f>
        <v>0</v>
      </c>
      <c r="E29" s="71">
        <f>Huidig!G30</f>
        <v>25</v>
      </c>
      <c r="F29" s="71">
        <f>Huidig!S30</f>
        <v>10</v>
      </c>
      <c r="G29" s="71">
        <f t="shared" si="2"/>
        <v>0</v>
      </c>
      <c r="H29" s="71">
        <f>Huidig!J30-0.0000017*D29/30</f>
        <v>0</v>
      </c>
      <c r="J29" s="53">
        <f>Huidig!B30</f>
        <v>0</v>
      </c>
      <c r="K29" s="53">
        <f>Huidig!C30</f>
        <v>0</v>
      </c>
      <c r="L29" s="53">
        <f>Huidig!N30</f>
        <v>0</v>
      </c>
    </row>
    <row r="30" spans="1:12" ht="12.75">
      <c r="A30" s="171">
        <f>IF(Huidig!$O31&gt;1,INDEX(Normen!$A$12:$C$128,Huidig!$O31,1),"")</f>
      </c>
      <c r="B30" s="237">
        <f t="shared" si="0"/>
        <v>0</v>
      </c>
      <c r="C30" s="237">
        <f t="shared" si="1"/>
        <v>0</v>
      </c>
      <c r="D30" s="252">
        <f>30*0.05*Huidig!D31</f>
        <v>0</v>
      </c>
      <c r="E30" s="71">
        <f>Huidig!G31</f>
        <v>25</v>
      </c>
      <c r="F30" s="71">
        <f>Huidig!S31</f>
        <v>10</v>
      </c>
      <c r="G30" s="71">
        <f t="shared" si="2"/>
        <v>0</v>
      </c>
      <c r="H30" s="71">
        <f>Huidig!J31-0.0000017*D30/30</f>
        <v>0</v>
      </c>
      <c r="J30" s="53">
        <f>Huidig!B31</f>
        <v>0</v>
      </c>
      <c r="K30" s="53">
        <f>Huidig!C31</f>
        <v>0</v>
      </c>
      <c r="L30" s="53">
        <f>Huidig!N31</f>
        <v>0</v>
      </c>
    </row>
    <row r="31" spans="1:12" ht="12.75">
      <c r="A31" s="171">
        <f>IF(Huidig!$O32&gt;1,INDEX(Normen!$A$12:$C$128,Huidig!$O32,1),"")</f>
      </c>
      <c r="B31" s="237">
        <f t="shared" si="0"/>
        <v>0</v>
      </c>
      <c r="C31" s="237">
        <f t="shared" si="1"/>
        <v>0</v>
      </c>
      <c r="D31" s="252">
        <f>30*0.05*Huidig!D32</f>
        <v>0</v>
      </c>
      <c r="E31" s="71">
        <f>Huidig!G32</f>
        <v>25</v>
      </c>
      <c r="F31" s="71">
        <f>Huidig!S32</f>
        <v>10</v>
      </c>
      <c r="G31" s="71">
        <f t="shared" si="2"/>
        <v>0</v>
      </c>
      <c r="H31" s="71">
        <f>Huidig!J32-0.0000017*D31/30</f>
        <v>0</v>
      </c>
      <c r="J31" s="53">
        <f>Huidig!B32</f>
        <v>0</v>
      </c>
      <c r="K31" s="53">
        <f>Huidig!C32</f>
        <v>0</v>
      </c>
      <c r="L31" s="53">
        <f>Huidig!N32</f>
        <v>0</v>
      </c>
    </row>
    <row r="32" spans="1:12" ht="12.75">
      <c r="A32" s="171">
        <f>IF(Huidig!A33="Type een verontreiniging:","",Huidig!A33)</f>
      </c>
      <c r="B32" s="237">
        <f t="shared" si="0"/>
        <v>0</v>
      </c>
      <c r="C32" s="237">
        <f t="shared" si="1"/>
        <v>0</v>
      </c>
      <c r="D32" s="252">
        <f>30*0.05*Huidig!D33</f>
        <v>0</v>
      </c>
      <c r="E32" s="71"/>
      <c r="F32" s="71"/>
      <c r="G32" s="71">
        <f t="shared" si="2"/>
        <v>0</v>
      </c>
      <c r="H32" s="71">
        <f>Huidig!J33-0.0000017*D32/30</f>
        <v>0</v>
      </c>
      <c r="J32" s="53">
        <f>Huidig!B33</f>
        <v>0</v>
      </c>
      <c r="K32" s="53">
        <f>Huidig!C33</f>
        <v>0</v>
      </c>
      <c r="L32" s="53">
        <f>Huidig!N33</f>
        <v>0</v>
      </c>
    </row>
    <row r="33" spans="1:12" ht="12.75">
      <c r="A33" s="171">
        <f>IF(Huidig!A34="Type een verontreiniging:","",Huidig!A34)</f>
      </c>
      <c r="B33" s="237">
        <f t="shared" si="0"/>
        <v>0</v>
      </c>
      <c r="C33" s="237">
        <f t="shared" si="1"/>
        <v>0</v>
      </c>
      <c r="D33" s="252">
        <f>30*0.05*Huidig!D34</f>
        <v>0</v>
      </c>
      <c r="E33" s="71"/>
      <c r="F33" s="71"/>
      <c r="G33" s="71">
        <f t="shared" si="2"/>
        <v>0</v>
      </c>
      <c r="H33" s="71">
        <f>Huidig!J34-0.0000017*D33/30</f>
        <v>0</v>
      </c>
      <c r="J33" s="53">
        <f>Huidig!B34</f>
        <v>0</v>
      </c>
      <c r="K33" s="53">
        <f>Huidig!C34</f>
        <v>0</v>
      </c>
      <c r="L33" s="53">
        <f>Huidig!N34</f>
        <v>0</v>
      </c>
    </row>
    <row r="34" spans="1:12" ht="12.75">
      <c r="A34" s="171">
        <f>IF(Huidig!A35="Type een verontreiniging:","",Huidig!A35)</f>
      </c>
      <c r="B34" s="237">
        <f t="shared" si="0"/>
        <v>0</v>
      </c>
      <c r="C34" s="237">
        <f t="shared" si="1"/>
        <v>0</v>
      </c>
      <c r="D34" s="252">
        <f>30*0.05*Huidig!D35</f>
        <v>0</v>
      </c>
      <c r="E34" s="71"/>
      <c r="F34" s="71"/>
      <c r="G34" s="71">
        <f t="shared" si="2"/>
        <v>0</v>
      </c>
      <c r="H34" s="71">
        <f>Huidig!J35-0.0000017*D34/30</f>
        <v>0</v>
      </c>
      <c r="J34" s="53">
        <f>Huidig!B35</f>
        <v>0</v>
      </c>
      <c r="K34" s="53">
        <f>Huidig!C35</f>
        <v>0</v>
      </c>
      <c r="L34" s="53">
        <f>Huidig!N35</f>
        <v>0</v>
      </c>
    </row>
    <row r="35" spans="1:12" ht="12.75">
      <c r="A35" s="253" t="s">
        <v>36</v>
      </c>
      <c r="B35" s="71"/>
      <c r="C35" s="71"/>
      <c r="D35" s="71"/>
      <c r="E35" s="71"/>
      <c r="F35" s="71"/>
      <c r="G35" s="254">
        <f>SUM(G24:G34)</f>
        <v>0</v>
      </c>
      <c r="H35" s="71"/>
      <c r="J35" s="53"/>
      <c r="K35" s="53"/>
      <c r="L35" s="53"/>
    </row>
    <row r="36" spans="1:12" ht="12.75">
      <c r="A36" s="253" t="str">
        <f>A22</f>
        <v>M1 grondkwaliteit</v>
      </c>
      <c r="B36" s="233">
        <f>Huidig!I36-Ref!G35</f>
        <v>0</v>
      </c>
      <c r="C36" s="71"/>
      <c r="D36" s="71"/>
      <c r="E36" s="71"/>
      <c r="F36" s="71"/>
      <c r="G36" s="71"/>
      <c r="H36" s="71"/>
      <c r="J36" s="53"/>
      <c r="K36" s="53"/>
      <c r="L36" s="53"/>
    </row>
    <row r="37" spans="10:12" ht="12.75">
      <c r="J37" s="53"/>
      <c r="K37" s="53"/>
      <c r="L37" s="53"/>
    </row>
    <row r="38" spans="1:12" ht="12.75">
      <c r="A38" s="54"/>
      <c r="J38" s="53"/>
      <c r="K38" s="53"/>
      <c r="L38" s="53"/>
    </row>
    <row r="39" spans="1:12" ht="12.75">
      <c r="A39" s="245" t="str">
        <f>A1</f>
        <v>MF-referentie</v>
      </c>
      <c r="J39" s="53"/>
      <c r="K39" s="53"/>
      <c r="L39" s="53"/>
    </row>
    <row r="40" spans="1:12" ht="12.75">
      <c r="A40" s="245" t="str">
        <f>A7</f>
        <v>M2 grondwaterkwaliteit</v>
      </c>
      <c r="J40" s="53"/>
      <c r="K40" s="53"/>
      <c r="L40" s="53"/>
    </row>
    <row r="41" spans="1:11" s="129" customFormat="1" ht="28.5" customHeight="1">
      <c r="A41" s="250" t="str">
        <f>Huidig!A42</f>
        <v>Verontreinigende stof</v>
      </c>
      <c r="B41" s="232" t="str">
        <f>Huidig!B42</f>
        <v>s [ug/l]</v>
      </c>
      <c r="C41" s="232" t="str">
        <f>Huidig!C42</f>
        <v>i [ug/l]</v>
      </c>
      <c r="D41" s="232" t="s">
        <v>330</v>
      </c>
      <c r="E41" s="232" t="str">
        <f>Huidig!I42</f>
        <v>Water-kubels [m3]</v>
      </c>
      <c r="J41" s="127" t="str">
        <f>Huidig!M42</f>
        <v>t</v>
      </c>
      <c r="K41" s="128"/>
    </row>
    <row r="42" spans="1:11" ht="12.75">
      <c r="A42" s="171">
        <f>IF(Huidig!$P43&gt;1,INDEX(Normen!$A$12:$C$128,Huidig!$P43,1),"")</f>
      </c>
      <c r="B42" s="71">
        <f>Huidig!B43</f>
        <v>0</v>
      </c>
      <c r="C42" s="71">
        <f>Huidig!C43</f>
        <v>0</v>
      </c>
      <c r="D42" s="252">
        <f>30*0.05*Huidig!D43</f>
        <v>0</v>
      </c>
      <c r="E42" s="71">
        <f aca="true" t="shared" si="3" ref="E42:E52">IF(D42&gt;0,D42/(30*J42),0)</f>
        <v>0</v>
      </c>
      <c r="F42" s="255"/>
      <c r="J42" s="53">
        <f aca="true" t="shared" si="4" ref="J42:J52">0.5*(B42+C42)</f>
        <v>0</v>
      </c>
      <c r="K42" s="53"/>
    </row>
    <row r="43" spans="1:11" ht="12.75">
      <c r="A43" s="171">
        <f>IF(Huidig!$P44&gt;1,INDEX(Normen!$A$12:$C$128,Huidig!$P44,1),"")</f>
      </c>
      <c r="B43" s="71">
        <f>Huidig!B44</f>
        <v>0</v>
      </c>
      <c r="C43" s="71">
        <f>Huidig!C44</f>
        <v>0</v>
      </c>
      <c r="D43" s="252">
        <f>30*0.05*Huidig!D44</f>
        <v>0</v>
      </c>
      <c r="E43" s="71">
        <f t="shared" si="3"/>
        <v>0</v>
      </c>
      <c r="F43" s="255"/>
      <c r="J43" s="53">
        <f t="shared" si="4"/>
        <v>0</v>
      </c>
      <c r="K43" s="53"/>
    </row>
    <row r="44" spans="1:11" ht="12.75">
      <c r="A44" s="171">
        <f>IF(Huidig!$P45&gt;1,INDEX(Normen!$A$12:$C$128,Huidig!$P45,1),"")</f>
      </c>
      <c r="B44" s="71">
        <f>Huidig!B45</f>
        <v>0</v>
      </c>
      <c r="C44" s="71">
        <f>Huidig!C45</f>
        <v>0</v>
      </c>
      <c r="D44" s="252">
        <f>30*0.05*Huidig!D45</f>
        <v>0</v>
      </c>
      <c r="E44" s="71">
        <f t="shared" si="3"/>
        <v>0</v>
      </c>
      <c r="F44" s="255"/>
      <c r="J44" s="53">
        <f t="shared" si="4"/>
        <v>0</v>
      </c>
      <c r="K44" s="53"/>
    </row>
    <row r="45" spans="1:11" ht="12.75">
      <c r="A45" s="171">
        <f>IF(Huidig!$P46&gt;1,INDEX(Normen!$A$12:$C$128,Huidig!$P46,1),"")</f>
      </c>
      <c r="B45" s="71">
        <f>Huidig!B46</f>
        <v>0</v>
      </c>
      <c r="C45" s="71">
        <f>Huidig!C46</f>
        <v>0</v>
      </c>
      <c r="D45" s="252">
        <f>30*0.05*Huidig!D46</f>
        <v>0</v>
      </c>
      <c r="E45" s="71">
        <f t="shared" si="3"/>
        <v>0</v>
      </c>
      <c r="F45" s="255"/>
      <c r="J45" s="53">
        <f t="shared" si="4"/>
        <v>0</v>
      </c>
      <c r="K45" s="53"/>
    </row>
    <row r="46" spans="1:11" ht="12.75">
      <c r="A46" s="171">
        <f>IF(Huidig!$P47&gt;1,INDEX(Normen!$A$12:$C$128,Huidig!$P47,1),"")</f>
      </c>
      <c r="B46" s="71">
        <f>Huidig!B47</f>
        <v>0</v>
      </c>
      <c r="C46" s="71">
        <f>Huidig!C47</f>
        <v>0</v>
      </c>
      <c r="D46" s="252">
        <f>30*0.05*Huidig!D47</f>
        <v>0</v>
      </c>
      <c r="E46" s="71">
        <f t="shared" si="3"/>
        <v>0</v>
      </c>
      <c r="F46" s="255"/>
      <c r="J46" s="53">
        <f t="shared" si="4"/>
        <v>0</v>
      </c>
      <c r="K46" s="53"/>
    </row>
    <row r="47" spans="1:11" ht="12.75">
      <c r="A47" s="171">
        <f>IF(Huidig!$P48&gt;1,INDEX(Normen!$A$12:$C$128,Huidig!$P48,1),"")</f>
      </c>
      <c r="B47" s="71">
        <f>Huidig!B48</f>
        <v>0</v>
      </c>
      <c r="C47" s="71">
        <f>Huidig!C48</f>
        <v>0</v>
      </c>
      <c r="D47" s="252">
        <f>30*0.05*Huidig!D48</f>
        <v>0</v>
      </c>
      <c r="E47" s="71">
        <f t="shared" si="3"/>
        <v>0</v>
      </c>
      <c r="F47" s="255"/>
      <c r="J47" s="53">
        <f t="shared" si="4"/>
        <v>0</v>
      </c>
      <c r="K47" s="53"/>
    </row>
    <row r="48" spans="1:11" ht="12.75">
      <c r="A48" s="171">
        <f>IF(Huidig!$P49&gt;1,INDEX(Normen!$A$12:$C$128,Huidig!$P49,1),"")</f>
      </c>
      <c r="B48" s="71">
        <f>Huidig!B49</f>
        <v>0</v>
      </c>
      <c r="C48" s="71">
        <f>Huidig!C49</f>
        <v>0</v>
      </c>
      <c r="D48" s="252">
        <f>30*0.05*Huidig!D49</f>
        <v>0</v>
      </c>
      <c r="E48" s="71">
        <f t="shared" si="3"/>
        <v>0</v>
      </c>
      <c r="F48" s="255"/>
      <c r="J48" s="53">
        <f t="shared" si="4"/>
        <v>0</v>
      </c>
      <c r="K48" s="53"/>
    </row>
    <row r="49" spans="1:11" ht="12.75">
      <c r="A49" s="171">
        <f>IF(Huidig!$P50&gt;1,INDEX(Normen!$A$12:$C$128,Huidig!$P50,1),"")</f>
      </c>
      <c r="B49" s="71">
        <f>Huidig!B50</f>
        <v>0</v>
      </c>
      <c r="C49" s="71">
        <f>Huidig!C50</f>
        <v>0</v>
      </c>
      <c r="D49" s="252">
        <f>30*0.05*Huidig!D50</f>
        <v>0</v>
      </c>
      <c r="E49" s="71">
        <f t="shared" si="3"/>
        <v>0</v>
      </c>
      <c r="F49" s="255"/>
      <c r="J49" s="53">
        <f t="shared" si="4"/>
        <v>0</v>
      </c>
      <c r="K49" s="53"/>
    </row>
    <row r="50" spans="1:11" ht="12.75">
      <c r="A50" s="171">
        <f>IF(Huidig!A51="Type een verontreiniging:","",Huidig!A51)</f>
      </c>
      <c r="B50" s="71">
        <f>Huidig!B51</f>
        <v>0</v>
      </c>
      <c r="C50" s="71">
        <f>Huidig!C51</f>
        <v>0</v>
      </c>
      <c r="D50" s="252">
        <f>30*0.05*Huidig!D51</f>
        <v>0</v>
      </c>
      <c r="E50" s="71">
        <f t="shared" si="3"/>
        <v>0</v>
      </c>
      <c r="F50" s="255"/>
      <c r="J50" s="53">
        <f t="shared" si="4"/>
        <v>0</v>
      </c>
      <c r="K50" s="53"/>
    </row>
    <row r="51" spans="1:11" ht="12.75">
      <c r="A51" s="171">
        <f>IF(Huidig!A52="Type een verontreiniging:","",Huidig!A52)</f>
      </c>
      <c r="B51" s="71">
        <f>Huidig!B52</f>
        <v>0</v>
      </c>
      <c r="C51" s="71">
        <f>Huidig!C52</f>
        <v>0</v>
      </c>
      <c r="D51" s="252">
        <f>30*0.05*Huidig!D52</f>
        <v>0</v>
      </c>
      <c r="E51" s="71">
        <f t="shared" si="3"/>
        <v>0</v>
      </c>
      <c r="F51" s="255"/>
      <c r="J51" s="53">
        <f t="shared" si="4"/>
        <v>0</v>
      </c>
      <c r="K51" s="53"/>
    </row>
    <row r="52" spans="1:11" ht="12.75">
      <c r="A52" s="171">
        <f>IF(Huidig!A53="Type een verontreiniging:","",Huidig!A53)</f>
      </c>
      <c r="B52" s="71">
        <f>Huidig!B53</f>
        <v>0</v>
      </c>
      <c r="C52" s="71">
        <f>Huidig!C53</f>
        <v>0</v>
      </c>
      <c r="D52" s="252">
        <f>30*0.05*Huidig!D53</f>
        <v>0</v>
      </c>
      <c r="E52" s="71">
        <f t="shared" si="3"/>
        <v>0</v>
      </c>
      <c r="F52" s="255"/>
      <c r="J52" s="53">
        <f t="shared" si="4"/>
        <v>0</v>
      </c>
      <c r="K52" s="53"/>
    </row>
    <row r="53" spans="1:12" ht="12.75">
      <c r="A53" s="253" t="s">
        <v>36</v>
      </c>
      <c r="B53" s="71"/>
      <c r="C53" s="71"/>
      <c r="D53" s="71"/>
      <c r="E53" s="254">
        <f>SUM(E42:E52)</f>
        <v>0</v>
      </c>
      <c r="J53" s="53"/>
      <c r="K53" s="53"/>
      <c r="L53" s="53"/>
    </row>
    <row r="54" spans="1:12" ht="12.75">
      <c r="A54" s="253" t="str">
        <f>A40</f>
        <v>M2 grondwaterkwaliteit</v>
      </c>
      <c r="B54" s="233">
        <f>Huidig!I54-Ref!E53</f>
        <v>0</v>
      </c>
      <c r="C54" s="71"/>
      <c r="D54" s="71"/>
      <c r="E54" s="71"/>
      <c r="J54" s="53"/>
      <c r="K54" s="53"/>
      <c r="L54" s="53"/>
    </row>
    <row r="55" spans="10:12" ht="12.75">
      <c r="J55" s="53"/>
      <c r="K55" s="53"/>
      <c r="L55" s="53"/>
    </row>
    <row r="56" ht="12.75">
      <c r="A56" s="54"/>
    </row>
    <row r="57" ht="12.75">
      <c r="A57" s="245" t="str">
        <f>A1</f>
        <v>MF-referentie</v>
      </c>
    </row>
    <row r="58" ht="12.75">
      <c r="A58" s="245" t="str">
        <f>A8</f>
        <v>M3 verlies grond</v>
      </c>
    </row>
    <row r="59" spans="1:2" ht="12.75">
      <c r="A59" s="171" t="s">
        <v>44</v>
      </c>
      <c r="B59" s="252">
        <f>Huidig!F36</f>
        <v>0</v>
      </c>
    </row>
    <row r="60" spans="1:2" ht="12.75">
      <c r="A60" s="171" t="s">
        <v>45</v>
      </c>
      <c r="B60" s="252">
        <f>0.9*B59</f>
        <v>0</v>
      </c>
    </row>
    <row r="61" spans="1:2" ht="12.75">
      <c r="A61" s="171"/>
      <c r="B61" s="71"/>
    </row>
    <row r="62" spans="1:2" ht="12.75">
      <c r="A62" s="256" t="str">
        <f>A58</f>
        <v>M3 verlies grond</v>
      </c>
      <c r="B62" s="233">
        <f>B59-B60</f>
        <v>0</v>
      </c>
    </row>
    <row r="63" ht="12.75"/>
    <row r="64" ht="12.75">
      <c r="A64" s="54"/>
    </row>
    <row r="65" ht="12.75">
      <c r="A65" s="245" t="str">
        <f>A1</f>
        <v>MF-referentie</v>
      </c>
    </row>
    <row r="66" ht="12.75">
      <c r="A66" s="245" t="str">
        <f>A9</f>
        <v>M4 verlies grondwater</v>
      </c>
    </row>
    <row r="67" spans="1:2" ht="12.75">
      <c r="A67" s="171" t="s">
        <v>46</v>
      </c>
      <c r="B67" s="252">
        <f>Huidig!F54</f>
        <v>0</v>
      </c>
    </row>
    <row r="68" spans="1:2" ht="12.75">
      <c r="A68" s="171" t="s">
        <v>47</v>
      </c>
      <c r="B68" s="252">
        <f>(15/50)*B67</f>
        <v>0</v>
      </c>
    </row>
    <row r="69" spans="1:2" ht="12.75">
      <c r="A69" s="171"/>
      <c r="B69" s="71"/>
    </row>
    <row r="70" spans="1:2" ht="12.75">
      <c r="A70" s="253" t="str">
        <f>A66</f>
        <v>M4 verlies grondwater</v>
      </c>
      <c r="B70" s="233">
        <f>B67-B68</f>
        <v>0</v>
      </c>
    </row>
    <row r="71" ht="12.75"/>
    <row r="72" ht="12.75">
      <c r="A72" s="54"/>
    </row>
    <row r="73" ht="12.75">
      <c r="A73" s="245" t="str">
        <f>A1</f>
        <v>MF-referentie</v>
      </c>
    </row>
    <row r="74" ht="12.75">
      <c r="A74" s="245" t="str">
        <f>A10</f>
        <v>M5/6 energiegebruik en emissies</v>
      </c>
    </row>
    <row r="75" spans="1:8" s="262" customFormat="1" ht="25.5">
      <c r="A75" s="257" t="s">
        <v>48</v>
      </c>
      <c r="B75" s="258" t="s">
        <v>49</v>
      </c>
      <c r="C75" s="259" t="s">
        <v>325</v>
      </c>
      <c r="D75" s="260" t="s">
        <v>275</v>
      </c>
      <c r="E75" s="261" t="s">
        <v>50</v>
      </c>
      <c r="F75" s="258" t="s">
        <v>51</v>
      </c>
      <c r="G75" s="258" t="s">
        <v>52</v>
      </c>
      <c r="H75" s="258" t="s">
        <v>53</v>
      </c>
    </row>
    <row r="76" spans="1:8" ht="12.75">
      <c r="A76" s="263"/>
      <c r="B76" s="71" t="s">
        <v>54</v>
      </c>
      <c r="C76" s="264"/>
      <c r="D76" s="265"/>
      <c r="E76" s="266"/>
      <c r="F76" s="71"/>
      <c r="G76" s="71"/>
      <c r="H76" s="71"/>
    </row>
    <row r="77" spans="1:8" ht="12.75">
      <c r="A77" s="263" t="s">
        <v>371</v>
      </c>
      <c r="B77" s="71" t="s">
        <v>55</v>
      </c>
      <c r="C77" s="267">
        <f>B59/1.7</f>
        <v>0</v>
      </c>
      <c r="D77" s="265"/>
      <c r="E77" s="268">
        <v>35</v>
      </c>
      <c r="F77" s="71" t="s">
        <v>56</v>
      </c>
      <c r="G77" s="71">
        <f>C77*E77</f>
        <v>0</v>
      </c>
      <c r="H77" s="71"/>
    </row>
    <row r="78" spans="1:8" ht="12.75">
      <c r="A78" s="263" t="s">
        <v>372</v>
      </c>
      <c r="B78" s="71" t="s">
        <v>55</v>
      </c>
      <c r="C78" s="269">
        <f>C77</f>
        <v>0</v>
      </c>
      <c r="D78" s="265"/>
      <c r="E78" s="268">
        <v>0.7</v>
      </c>
      <c r="F78" s="71" t="s">
        <v>57</v>
      </c>
      <c r="G78" s="71">
        <f>C78*E78*C79</f>
        <v>0</v>
      </c>
      <c r="H78" s="71"/>
    </row>
    <row r="79" spans="1:8" ht="12.75">
      <c r="A79" s="270" t="s">
        <v>58</v>
      </c>
      <c r="B79" s="271" t="s">
        <v>59</v>
      </c>
      <c r="C79" s="272">
        <v>50</v>
      </c>
      <c r="D79" s="265"/>
      <c r="E79" s="266" t="s">
        <v>54</v>
      </c>
      <c r="F79" s="71"/>
      <c r="G79" s="71" t="s">
        <v>54</v>
      </c>
      <c r="H79" s="71"/>
    </row>
    <row r="80" spans="1:8" ht="12.75">
      <c r="A80" s="263" t="s">
        <v>373</v>
      </c>
      <c r="B80" s="71" t="s">
        <v>55</v>
      </c>
      <c r="C80" s="269">
        <f>C77</f>
        <v>0</v>
      </c>
      <c r="D80" s="265"/>
      <c r="E80" s="268">
        <v>0.7</v>
      </c>
      <c r="F80" s="71" t="s">
        <v>57</v>
      </c>
      <c r="G80" s="71">
        <f>C80*E80*C81</f>
        <v>0</v>
      </c>
      <c r="H80" s="71"/>
    </row>
    <row r="81" spans="1:8" ht="12.75">
      <c r="A81" s="270" t="s">
        <v>60</v>
      </c>
      <c r="B81" s="271" t="s">
        <v>59</v>
      </c>
      <c r="C81" s="272">
        <f>20</f>
        <v>20</v>
      </c>
      <c r="D81" s="265"/>
      <c r="E81" s="266" t="s">
        <v>54</v>
      </c>
      <c r="F81" s="71"/>
      <c r="G81" s="71" t="s">
        <v>54</v>
      </c>
      <c r="H81" s="71"/>
    </row>
    <row r="82" spans="1:8" ht="12.75">
      <c r="A82" s="263" t="s">
        <v>374</v>
      </c>
      <c r="B82" s="71" t="s">
        <v>61</v>
      </c>
      <c r="C82" s="264"/>
      <c r="D82" s="273"/>
      <c r="E82" s="268">
        <v>40</v>
      </c>
      <c r="F82" s="71" t="s">
        <v>56</v>
      </c>
      <c r="G82" s="71"/>
      <c r="H82" s="71">
        <f>E82*D82</f>
        <v>0</v>
      </c>
    </row>
    <row r="83" spans="1:8" ht="12.75">
      <c r="A83" s="263" t="s">
        <v>375</v>
      </c>
      <c r="B83" s="71" t="s">
        <v>61</v>
      </c>
      <c r="C83" s="264"/>
      <c r="D83" s="273">
        <f>C77</f>
        <v>0</v>
      </c>
      <c r="E83" s="268">
        <v>120</v>
      </c>
      <c r="F83" s="71" t="s">
        <v>56</v>
      </c>
      <c r="G83" s="71"/>
      <c r="H83" s="71">
        <f>E83*D83</f>
        <v>0</v>
      </c>
    </row>
    <row r="84" spans="1:8" ht="12.75">
      <c r="A84" s="263" t="s">
        <v>376</v>
      </c>
      <c r="B84" s="71" t="s">
        <v>61</v>
      </c>
      <c r="C84" s="264"/>
      <c r="D84" s="273"/>
      <c r="E84" s="268">
        <v>600</v>
      </c>
      <c r="F84" s="71" t="s">
        <v>56</v>
      </c>
      <c r="G84" s="71"/>
      <c r="H84" s="71">
        <f>E84*D84</f>
        <v>0</v>
      </c>
    </row>
    <row r="85" spans="1:8" ht="12.75">
      <c r="A85" s="263" t="s">
        <v>377</v>
      </c>
      <c r="B85" s="71" t="s">
        <v>61</v>
      </c>
      <c r="C85" s="264"/>
      <c r="D85" s="273"/>
      <c r="E85" s="268"/>
      <c r="F85" s="71" t="s">
        <v>56</v>
      </c>
      <c r="G85" s="71"/>
      <c r="H85" s="71">
        <f>E85*D85</f>
        <v>0</v>
      </c>
    </row>
    <row r="86" spans="1:8" ht="12.75">
      <c r="A86" s="263" t="s">
        <v>378</v>
      </c>
      <c r="B86" s="71" t="s">
        <v>62</v>
      </c>
      <c r="C86" s="264"/>
      <c r="D86" s="269"/>
      <c r="E86" s="268">
        <v>0.05</v>
      </c>
      <c r="F86" s="71" t="s">
        <v>63</v>
      </c>
      <c r="G86" s="71"/>
      <c r="H86" s="71">
        <f>IF($D$87&gt;0,D86*$E86*$D$87,D86*$E86*2)</f>
        <v>0</v>
      </c>
    </row>
    <row r="87" spans="1:8" ht="12.75">
      <c r="A87" s="270" t="s">
        <v>64</v>
      </c>
      <c r="B87" s="71" t="s">
        <v>65</v>
      </c>
      <c r="C87" s="264"/>
      <c r="D87" s="272"/>
      <c r="E87" s="266"/>
      <c r="F87" s="71"/>
      <c r="G87" s="71"/>
      <c r="H87" s="71"/>
    </row>
    <row r="88" spans="1:8" ht="12.75">
      <c r="A88" s="263" t="s">
        <v>379</v>
      </c>
      <c r="B88" s="71" t="s">
        <v>66</v>
      </c>
      <c r="C88" s="269">
        <f>B67</f>
        <v>0</v>
      </c>
      <c r="D88" s="265"/>
      <c r="E88" s="268"/>
      <c r="F88" s="71" t="s">
        <v>63</v>
      </c>
      <c r="G88" s="71">
        <f>IF($C$89&gt;0,IF(E88&gt;0,C88*$E88*$C$89,C88*0.02*$C$89),IF(E88&gt;0,C88*$E88*2,C88*2*0.02))</f>
        <v>0</v>
      </c>
      <c r="H88" s="71"/>
    </row>
    <row r="89" spans="1:8" ht="12.75">
      <c r="A89" s="270" t="s">
        <v>64</v>
      </c>
      <c r="B89" s="71" t="s">
        <v>67</v>
      </c>
      <c r="C89" s="272"/>
      <c r="D89" s="265"/>
      <c r="E89" s="266" t="s">
        <v>54</v>
      </c>
      <c r="F89" s="71" t="s">
        <v>54</v>
      </c>
      <c r="G89" s="71" t="s">
        <v>54</v>
      </c>
      <c r="H89" s="71"/>
    </row>
    <row r="90" spans="1:8" ht="12.75">
      <c r="A90" s="263" t="s">
        <v>380</v>
      </c>
      <c r="B90" s="71" t="s">
        <v>62</v>
      </c>
      <c r="C90" s="264"/>
      <c r="D90" s="273">
        <f>C88</f>
        <v>0</v>
      </c>
      <c r="E90" s="268">
        <v>0.4</v>
      </c>
      <c r="F90" s="71" t="s">
        <v>68</v>
      </c>
      <c r="G90" s="71"/>
      <c r="H90" s="71">
        <f>E90*D90</f>
        <v>0</v>
      </c>
    </row>
    <row r="91" spans="1:8" ht="12.75">
      <c r="A91" s="263" t="s">
        <v>381</v>
      </c>
      <c r="B91" s="71" t="s">
        <v>62</v>
      </c>
      <c r="C91" s="264"/>
      <c r="D91" s="273">
        <f>B70</f>
        <v>0</v>
      </c>
      <c r="E91" s="268">
        <v>1.2</v>
      </c>
      <c r="F91" s="71" t="s">
        <v>68</v>
      </c>
      <c r="G91" s="71"/>
      <c r="H91" s="71">
        <f>E91*D91</f>
        <v>0</v>
      </c>
    </row>
    <row r="92" spans="1:8" ht="12.75">
      <c r="A92" s="263" t="s">
        <v>326</v>
      </c>
      <c r="B92" s="274" t="s">
        <v>327</v>
      </c>
      <c r="C92" s="275"/>
      <c r="D92" s="265"/>
      <c r="E92" s="268">
        <f>1000*0.03165</f>
        <v>31.65</v>
      </c>
      <c r="F92" s="71" t="s">
        <v>68</v>
      </c>
      <c r="G92" s="71"/>
      <c r="H92" s="276">
        <f>C92*E92</f>
        <v>0</v>
      </c>
    </row>
    <row r="93" spans="1:8" ht="12.75">
      <c r="A93" s="171" t="s">
        <v>69</v>
      </c>
      <c r="B93" s="71" t="s">
        <v>56</v>
      </c>
      <c r="C93" s="267"/>
      <c r="D93" s="265"/>
      <c r="E93" s="268">
        <v>35</v>
      </c>
      <c r="F93" s="71" t="s">
        <v>56</v>
      </c>
      <c r="G93" s="71">
        <f>E93*C93</f>
        <v>0</v>
      </c>
      <c r="H93" s="71"/>
    </row>
    <row r="94" spans="1:8" ht="12.75">
      <c r="A94" s="171" t="s">
        <v>70</v>
      </c>
      <c r="B94" s="271" t="s">
        <v>71</v>
      </c>
      <c r="C94" s="264"/>
      <c r="D94" s="273"/>
      <c r="E94" s="266"/>
      <c r="F94" s="71" t="s">
        <v>54</v>
      </c>
      <c r="G94" s="71"/>
      <c r="H94" s="71">
        <f>D94</f>
        <v>0</v>
      </c>
    </row>
    <row r="95" spans="1:8" ht="12.75">
      <c r="A95" s="253" t="s">
        <v>72</v>
      </c>
      <c r="B95" s="277"/>
      <c r="C95" s="71"/>
      <c r="D95" s="71"/>
      <c r="E95" s="71"/>
      <c r="F95" s="71" t="s">
        <v>54</v>
      </c>
      <c r="G95" s="71">
        <f>SUM(G77:G94)</f>
        <v>0</v>
      </c>
      <c r="H95" s="71">
        <f>SUM(H77:H94)</f>
        <v>0</v>
      </c>
    </row>
    <row r="96" spans="1:8" ht="12.75">
      <c r="A96" s="263"/>
      <c r="B96" s="71"/>
      <c r="C96" s="71"/>
      <c r="D96" s="71"/>
      <c r="E96" s="71"/>
      <c r="F96" s="71"/>
      <c r="G96" s="71"/>
      <c r="H96" s="71"/>
    </row>
    <row r="97" spans="1:8" ht="12.75">
      <c r="A97" s="171"/>
      <c r="B97" s="277"/>
      <c r="C97" s="71"/>
      <c r="D97" s="71"/>
      <c r="E97" s="71"/>
      <c r="F97" s="71"/>
      <c r="G97" s="71"/>
      <c r="H97" s="71"/>
    </row>
    <row r="98" spans="1:8" ht="12.75">
      <c r="A98" s="253" t="s">
        <v>318</v>
      </c>
      <c r="B98" s="233">
        <f>0.001*(G95+H95)/200</f>
        <v>0</v>
      </c>
      <c r="C98" s="71" t="s">
        <v>74</v>
      </c>
      <c r="D98" s="71"/>
      <c r="E98" s="237"/>
      <c r="F98" s="71"/>
      <c r="G98" s="71"/>
      <c r="H98" s="71"/>
    </row>
    <row r="99" spans="1:8" ht="12.75">
      <c r="A99" s="278" t="s">
        <v>319</v>
      </c>
      <c r="B99" s="233">
        <f>0.001*(0.0219*H95+0.0074*G95)</f>
        <v>0</v>
      </c>
      <c r="C99" s="71" t="s">
        <v>74</v>
      </c>
      <c r="D99" s="71"/>
      <c r="E99" s="71"/>
      <c r="F99" s="71"/>
      <c r="G99" s="71"/>
      <c r="H99" s="71"/>
    </row>
    <row r="100" ht="12.75"/>
    <row r="101" ht="12.75">
      <c r="A101" s="54"/>
    </row>
    <row r="102" ht="12.75">
      <c r="A102" s="245" t="str">
        <f>A1</f>
        <v>MF-referentie</v>
      </c>
    </row>
    <row r="103" ht="12.75">
      <c r="A103" s="245" t="str">
        <f>A11</f>
        <v>M7 opp. wateremissies</v>
      </c>
    </row>
    <row r="104" spans="1:5" s="129" customFormat="1" ht="51">
      <c r="A104" s="250" t="str">
        <f aca="true" t="shared" si="5" ref="A104:A115">A41</f>
        <v>Verontreinigende stof</v>
      </c>
      <c r="B104" s="232" t="s">
        <v>394</v>
      </c>
      <c r="C104" s="232" t="s">
        <v>39</v>
      </c>
      <c r="D104" s="232" t="s">
        <v>24</v>
      </c>
      <c r="E104" s="232" t="s">
        <v>361</v>
      </c>
    </row>
    <row r="105" spans="1:5" ht="12.75">
      <c r="A105" s="171">
        <f t="shared" si="5"/>
      </c>
      <c r="B105" s="279">
        <f>IF(INDEX(Normen!$A$12:$I$128,Huidig!$P43,9)&lt;&gt;"NB",0.5*(INDEX(Normen!$A$12:$I$128,Huidig!$P43,8)+INDEX(Normen!$A$12:$I$128,Huidig!$P43,9)),"NB")</f>
        <v>0</v>
      </c>
      <c r="C105" s="252"/>
      <c r="D105" s="252"/>
      <c r="E105" s="71">
        <f>IF(AND(B105&lt;&gt;"NB",B105&gt;0,C105&gt;INDEX(Normen!$A$12:$I$128,Huidig!$P43,8)),(C105-INDEX(Normen!$A$12:$I$128,Huidig!$P43,8))*D105/B105,0)</f>
        <v>0</v>
      </c>
    </row>
    <row r="106" spans="1:5" ht="12.75">
      <c r="A106" s="171">
        <f t="shared" si="5"/>
      </c>
      <c r="B106" s="279">
        <f>IF(INDEX(Normen!$A$12:$I$128,Huidig!$P44,9)&lt;&gt;"NB",0.5*(INDEX(Normen!$A$12:$I$128,Huidig!$P44,8)+INDEX(Normen!$A$12:$I$128,Huidig!$P44,9)),"NB")</f>
        <v>0</v>
      </c>
      <c r="C106" s="252"/>
      <c r="D106" s="252"/>
      <c r="E106" s="71">
        <f>IF(AND(B106&lt;&gt;"NB",B106&gt;0,C106&gt;INDEX(Normen!$A$12:$I$128,Huidig!$P44,8)),(C106-INDEX(Normen!$A$12:$I$128,Huidig!$P44,8))*D106/B106,0)</f>
        <v>0</v>
      </c>
    </row>
    <row r="107" spans="1:5" ht="12.75">
      <c r="A107" s="171">
        <f t="shared" si="5"/>
      </c>
      <c r="B107" s="279">
        <f>IF(INDEX(Normen!$A$12:$I$128,Huidig!$P45,9)&lt;&gt;"NB",0.5*(INDEX(Normen!$A$12:$I$128,Huidig!$P45,8)+INDEX(Normen!$A$12:$I$128,Huidig!$P45,9)),"NB")</f>
        <v>0</v>
      </c>
      <c r="C107" s="252"/>
      <c r="D107" s="252"/>
      <c r="E107" s="71">
        <f>IF(AND(B107&lt;&gt;"NB",B107&gt;0,C107&gt;INDEX(Normen!$A$12:$I$128,Huidig!$P45,8)),(C107-INDEX(Normen!$A$12:$I$128,Huidig!$P45,8))*D107/B107,0)</f>
        <v>0</v>
      </c>
    </row>
    <row r="108" spans="1:5" ht="12.75">
      <c r="A108" s="171">
        <f t="shared" si="5"/>
      </c>
      <c r="B108" s="279">
        <f>IF(INDEX(Normen!$A$12:$I$128,Huidig!$P46,9)&lt;&gt;"NB",0.5*(INDEX(Normen!$A$12:$I$128,Huidig!$P46,8)+INDEX(Normen!$A$12:$I$128,Huidig!$P46,9)),"NB")</f>
        <v>0</v>
      </c>
      <c r="C108" s="252"/>
      <c r="D108" s="252"/>
      <c r="E108" s="71">
        <f>IF(AND(B108&lt;&gt;"NB",B108&gt;0,C108&gt;INDEX(Normen!$A$12:$I$128,Huidig!$P46,8)),(C108-INDEX(Normen!$A$12:$I$128,Huidig!$P46,8))*D108/B108,0)</f>
        <v>0</v>
      </c>
    </row>
    <row r="109" spans="1:5" ht="12.75">
      <c r="A109" s="171">
        <f t="shared" si="5"/>
      </c>
      <c r="B109" s="279">
        <f>IF(INDEX(Normen!$A$12:$I$128,Huidig!$P47,9)&lt;&gt;"NB",0.5*(INDEX(Normen!$A$12:$I$128,Huidig!$P47,8)+INDEX(Normen!$A$12:$I$128,Huidig!$P47,9)),"NB")</f>
        <v>0</v>
      </c>
      <c r="C109" s="252"/>
      <c r="D109" s="252"/>
      <c r="E109" s="71">
        <f>IF(AND(B109&lt;&gt;"NB",B109&gt;0,C109&gt;INDEX(Normen!$A$12:$I$128,Huidig!$P47,8)),(C109-INDEX(Normen!$A$12:$I$128,Huidig!$P47,8))*D109/B109,0)</f>
        <v>0</v>
      </c>
    </row>
    <row r="110" spans="1:5" ht="12.75">
      <c r="A110" s="171">
        <f t="shared" si="5"/>
      </c>
      <c r="B110" s="279">
        <f>IF(INDEX(Normen!$A$12:$I$128,Huidig!$P48,9)&lt;&gt;"NB",0.5*(INDEX(Normen!$A$12:$I$128,Huidig!$P48,8)+INDEX(Normen!$A$12:$I$128,Huidig!$P48,9)),"NB")</f>
        <v>0</v>
      </c>
      <c r="C110" s="252"/>
      <c r="D110" s="252"/>
      <c r="E110" s="71">
        <f>IF(AND(B110&lt;&gt;"NB",B110&gt;0,C110&gt;INDEX(Normen!$A$12:$I$128,Huidig!$P48,8)),(C110-INDEX(Normen!$A$12:$I$128,Huidig!$P48,8))*D110/B110,0)</f>
        <v>0</v>
      </c>
    </row>
    <row r="111" spans="1:5" ht="12.75">
      <c r="A111" s="171">
        <f t="shared" si="5"/>
      </c>
      <c r="B111" s="279">
        <f>IF(INDEX(Normen!$A$12:$I$128,Huidig!$P49,9)&lt;&gt;"NB",0.5*(INDEX(Normen!$A$12:$I$128,Huidig!$P49,8)+INDEX(Normen!$A$12:$I$128,Huidig!$P49,9)),"NB")</f>
        <v>0</v>
      </c>
      <c r="C111" s="252"/>
      <c r="D111" s="252"/>
      <c r="E111" s="71">
        <f>IF(AND(B111&lt;&gt;"NB",B111&gt;0,C111&gt;INDEX(Normen!$A$12:$I$128,Huidig!$P49,8)),(C111-INDEX(Normen!$A$12:$I$128,Huidig!$P49,8))*D111/B111,0)</f>
        <v>0</v>
      </c>
    </row>
    <row r="112" spans="1:5" ht="12.75">
      <c r="A112" s="171">
        <f t="shared" si="5"/>
      </c>
      <c r="B112" s="279">
        <f>IF(INDEX(Normen!$A$12:$I$128,Huidig!$P50,9)&lt;&gt;"NB",0.5*(INDEX(Normen!$A$12:$I$128,Huidig!$P50,8)+INDEX(Normen!$A$12:$I$128,Huidig!$P50,9)),"NB")</f>
        <v>0</v>
      </c>
      <c r="C112" s="252"/>
      <c r="D112" s="252"/>
      <c r="E112" s="71">
        <f>IF(AND(B112&lt;&gt;"NB",B112&gt;0,C112&gt;INDEX(Normen!$A$12:$I$128,Huidig!$P50,8)),(C112-INDEX(Normen!$A$12:$I$128,Huidig!$P50,8))*D112/B112,0)</f>
        <v>0</v>
      </c>
    </row>
    <row r="113" spans="1:5" ht="12.75">
      <c r="A113" s="171">
        <f t="shared" si="5"/>
      </c>
      <c r="B113" s="279">
        <f>IF(INDEX(Normen!$A$12:$I$128,Huidig!$P51,9)&lt;&gt;"NB",0.5*(INDEX(Normen!$A$12:$I$128,Huidig!$P51,8)+INDEX(Normen!$A$12:$I$128,Huidig!$P51,9)),"NB")</f>
        <v>0</v>
      </c>
      <c r="C113" s="252"/>
      <c r="D113" s="252"/>
      <c r="E113" s="71">
        <f>IF(AND(B113&lt;&gt;"NB",B113&gt;0,C113&gt;INDEX(Normen!$A$12:$I$128,Huidig!$P51,8)),(C113-INDEX(Normen!$A$12:$I$128,Huidig!$P51,8))*D113/B113,0)</f>
        <v>0</v>
      </c>
    </row>
    <row r="114" spans="1:5" ht="12.75">
      <c r="A114" s="171">
        <f t="shared" si="5"/>
      </c>
      <c r="B114" s="279">
        <f>IF(INDEX(Normen!$A$12:$I$128,Huidig!$P52,9)&lt;&gt;"NB",0.5*(INDEX(Normen!$A$12:$I$128,Huidig!$P52,8)+INDEX(Normen!$A$12:$I$128,Huidig!$P52,9)),"NB")</f>
        <v>0</v>
      </c>
      <c r="C114" s="252"/>
      <c r="D114" s="252"/>
      <c r="E114" s="71">
        <f>IF(AND(B114&lt;&gt;"NB",B114&gt;0,C114&gt;INDEX(Normen!$A$12:$I$128,Huidig!$P52,8)),(C114-INDEX(Normen!$A$12:$I$128,Huidig!$P52,8))*D114/B114,0)</f>
        <v>0</v>
      </c>
    </row>
    <row r="115" spans="1:5" ht="12.75">
      <c r="A115" s="171">
        <f t="shared" si="5"/>
      </c>
      <c r="B115" s="279">
        <f>IF(INDEX(Normen!$A$12:$I$128,Huidig!$P53,9)&lt;&gt;"NB",0.5*(INDEX(Normen!$A$12:$I$128,Huidig!$P53,8)+INDEX(Normen!$A$12:$I$128,Huidig!$P53,9)),"NB")</f>
        <v>0</v>
      </c>
      <c r="C115" s="252"/>
      <c r="D115" s="252"/>
      <c r="E115" s="71">
        <f>IF(AND(B115&lt;&gt;"NB",B115&gt;0,C115&gt;INDEX(Normen!$A$12:$I$128,Huidig!$P53,8)),(C115-INDEX(Normen!$A$12:$I$128,Huidig!$P53,8))*D115/B115,0)</f>
        <v>0</v>
      </c>
    </row>
    <row r="116" spans="1:5" ht="12.75">
      <c r="A116" s="171"/>
      <c r="B116" s="71"/>
      <c r="C116" s="71"/>
      <c r="D116" s="71"/>
      <c r="E116" s="71"/>
    </row>
    <row r="117" spans="1:5" ht="12.75">
      <c r="A117" s="253" t="str">
        <f>A103</f>
        <v>M7 opp. wateremissies</v>
      </c>
      <c r="B117" s="233">
        <f>SUM(E105:E114)</f>
        <v>0</v>
      </c>
      <c r="C117" s="71"/>
      <c r="D117" s="71"/>
      <c r="E117" s="71"/>
    </row>
    <row r="118" ht="12.75"/>
    <row r="119" ht="12.75">
      <c r="A119" s="54"/>
    </row>
    <row r="120" ht="12.75">
      <c r="A120" s="245" t="str">
        <f>A1</f>
        <v>MF-referentie</v>
      </c>
    </row>
    <row r="121" ht="12.75">
      <c r="A121" s="245" t="str">
        <f>A12</f>
        <v>M8 afvalvorming</v>
      </c>
    </row>
    <row r="122" spans="1:2" ht="12.75">
      <c r="A122" s="171" t="s">
        <v>75</v>
      </c>
      <c r="B122" s="252">
        <f>0.1*B59</f>
        <v>0</v>
      </c>
    </row>
    <row r="123" spans="1:2" ht="12.75">
      <c r="A123" s="171" t="s">
        <v>76</v>
      </c>
      <c r="B123" s="252"/>
    </row>
    <row r="124" spans="1:2" ht="12.75">
      <c r="A124" s="171" t="s">
        <v>77</v>
      </c>
      <c r="B124" s="252"/>
    </row>
    <row r="125" spans="1:2" ht="12.75">
      <c r="A125" s="171"/>
      <c r="B125" s="71"/>
    </row>
    <row r="126" spans="1:2" ht="12.75">
      <c r="A126" s="171"/>
      <c r="B126" s="71"/>
    </row>
    <row r="127" spans="1:2" ht="12.75">
      <c r="A127" s="253" t="str">
        <f>A121</f>
        <v>M8 afvalvorming</v>
      </c>
      <c r="B127" s="233">
        <f>SUM(B122:B124)</f>
        <v>0</v>
      </c>
    </row>
    <row r="128" ht="12.75"/>
    <row r="129" ht="12.75">
      <c r="A129" s="54"/>
    </row>
    <row r="130" ht="12.75">
      <c r="A130" s="245" t="str">
        <f>A1</f>
        <v>MF-referentie</v>
      </c>
    </row>
    <row r="131" ht="12.75">
      <c r="A131" s="245" t="str">
        <f>A13</f>
        <v>M9 ruimtebeslag</v>
      </c>
    </row>
    <row r="132" spans="1:6" ht="12.75">
      <c r="A132" s="280"/>
      <c r="B132" s="281" t="s">
        <v>78</v>
      </c>
      <c r="C132" s="281" t="s">
        <v>79</v>
      </c>
      <c r="D132" s="281" t="s">
        <v>80</v>
      </c>
      <c r="E132" s="281" t="s">
        <v>81</v>
      </c>
      <c r="F132" s="281" t="s">
        <v>82</v>
      </c>
    </row>
    <row r="133" spans="1:6" ht="12.75">
      <c r="A133" s="171" t="s">
        <v>83</v>
      </c>
      <c r="B133" s="252">
        <f>B59/2</f>
        <v>0</v>
      </c>
      <c r="C133" s="252"/>
      <c r="D133" s="252"/>
      <c r="E133" s="252"/>
      <c r="F133" s="252"/>
    </row>
    <row r="134" spans="1:6" ht="12.75">
      <c r="A134" s="171" t="s">
        <v>84</v>
      </c>
      <c r="B134" s="252">
        <v>1</v>
      </c>
      <c r="C134" s="252"/>
      <c r="D134" s="252"/>
      <c r="E134" s="252"/>
      <c r="F134" s="252"/>
    </row>
    <row r="135" spans="1:6" ht="12.75">
      <c r="A135" s="253" t="s">
        <v>85</v>
      </c>
      <c r="B135" s="71">
        <f>B133*B134</f>
        <v>0</v>
      </c>
      <c r="C135" s="71">
        <f>C133*C134</f>
        <v>0</v>
      </c>
      <c r="D135" s="71">
        <f>D133*D134</f>
        <v>0</v>
      </c>
      <c r="E135" s="71">
        <f>E133*E134</f>
        <v>0</v>
      </c>
      <c r="F135" s="71">
        <f>F133*F134</f>
        <v>0</v>
      </c>
    </row>
    <row r="136" spans="1:6" ht="12.75">
      <c r="A136" s="171"/>
      <c r="B136" s="233" t="str">
        <f>IF(B134&gt;30,"Maximaal 30 invullen!!"," ")</f>
        <v> </v>
      </c>
      <c r="C136" s="233" t="str">
        <f>IF(C134&gt;30,"Maximaal 30 invullen!!"," ")</f>
        <v> </v>
      </c>
      <c r="D136" s="233" t="str">
        <f>IF(D134&gt;30,"Maximaal 30 invullen!!"," ")</f>
        <v> </v>
      </c>
      <c r="E136" s="233" t="str">
        <f>IF(E134&gt;30,"Maximaal 30 invullen!!"," ")</f>
        <v> </v>
      </c>
      <c r="F136" s="233" t="str">
        <f>IF(F134&gt;30,"Maximaal 30 invullen!!"," ")</f>
        <v> </v>
      </c>
    </row>
    <row r="137" spans="1:6" ht="12.75">
      <c r="A137" s="253" t="str">
        <f>A131</f>
        <v>M9 ruimtebeslag</v>
      </c>
      <c r="B137" s="233">
        <f>SUM(B135:F135)</f>
        <v>0</v>
      </c>
      <c r="C137" s="71"/>
      <c r="D137" s="71"/>
      <c r="E137" s="71"/>
      <c r="F137" s="71"/>
    </row>
    <row r="138" ht="12.75"/>
    <row r="139" ht="12.75"/>
    <row r="140" ht="12.75">
      <c r="A140" s="245" t="str">
        <f>A1</f>
        <v>MF-referentie</v>
      </c>
    </row>
    <row r="141" spans="1:14" s="129" customFormat="1" ht="12.75">
      <c r="A141" s="282" t="str">
        <f>A16</f>
        <v>Effectenoverzicht</v>
      </c>
      <c r="B141" s="232" t="s">
        <v>51</v>
      </c>
      <c r="C141" s="232" t="s">
        <v>86</v>
      </c>
      <c r="M141" s="128"/>
      <c r="N141" s="283"/>
    </row>
    <row r="142" spans="1:14" ht="12.75">
      <c r="A142" s="171" t="str">
        <f>A36</f>
        <v>M1 grondkwaliteit</v>
      </c>
      <c r="B142" s="71" t="s">
        <v>360</v>
      </c>
      <c r="C142" s="284">
        <f>B36/1000</f>
        <v>0</v>
      </c>
      <c r="D142" s="234"/>
      <c r="F142" s="285"/>
      <c r="M142" s="286"/>
      <c r="N142" s="287"/>
    </row>
    <row r="143" spans="1:14" ht="12.75">
      <c r="A143" s="171" t="str">
        <f>A54</f>
        <v>M2 grondwaterkwaliteit</v>
      </c>
      <c r="B143" s="71" t="s">
        <v>360</v>
      </c>
      <c r="C143" s="284">
        <f>B54/1000</f>
        <v>0</v>
      </c>
      <c r="D143" s="234"/>
      <c r="F143" s="285"/>
      <c r="M143" s="286"/>
      <c r="N143" s="287"/>
    </row>
    <row r="144" spans="1:14" ht="14.25">
      <c r="A144" s="171" t="str">
        <f>A62</f>
        <v>M3 verlies grond</v>
      </c>
      <c r="B144" s="71" t="s">
        <v>87</v>
      </c>
      <c r="C144" s="284">
        <f>(-B62)</f>
        <v>0</v>
      </c>
      <c r="E144" s="234"/>
      <c r="F144" s="285"/>
      <c r="M144" s="286"/>
      <c r="N144" s="287"/>
    </row>
    <row r="145" spans="1:14" ht="14.25">
      <c r="A145" s="171" t="str">
        <f>A70</f>
        <v>M4 verlies grondwater</v>
      </c>
      <c r="B145" s="71" t="s">
        <v>88</v>
      </c>
      <c r="C145" s="284">
        <f>-B70/1000</f>
        <v>0</v>
      </c>
      <c r="E145" s="234"/>
      <c r="F145" s="285"/>
      <c r="M145" s="286"/>
      <c r="N145" s="287"/>
    </row>
    <row r="146" spans="1:14" ht="12.75">
      <c r="A146" s="171" t="str">
        <f>A98</f>
        <v>M5 energiegebruik</v>
      </c>
      <c r="B146" s="71" t="str">
        <f>C98</f>
        <v>inw.eq</v>
      </c>
      <c r="C146" s="237">
        <f>-B98</f>
        <v>0</v>
      </c>
      <c r="E146" s="234"/>
      <c r="F146" s="285"/>
      <c r="M146" s="286"/>
      <c r="N146" s="287"/>
    </row>
    <row r="147" spans="1:14" ht="12.75">
      <c r="A147" s="171" t="str">
        <f>A99</f>
        <v>M6 luchtemissies</v>
      </c>
      <c r="B147" s="71" t="s">
        <v>74</v>
      </c>
      <c r="C147" s="237">
        <f>-B99</f>
        <v>0</v>
      </c>
      <c r="E147" s="234"/>
      <c r="F147" s="285"/>
      <c r="M147" s="286"/>
      <c r="N147" s="287"/>
    </row>
    <row r="148" spans="1:14" ht="12.75">
      <c r="A148" s="171" t="str">
        <f>A117</f>
        <v>M7 opp. wateremissies</v>
      </c>
      <c r="B148" s="71" t="s">
        <v>360</v>
      </c>
      <c r="C148" s="237">
        <f>-B117/1000</f>
        <v>0</v>
      </c>
      <c r="E148" s="234"/>
      <c r="F148" s="285"/>
      <c r="M148" s="286"/>
      <c r="N148" s="287"/>
    </row>
    <row r="149" spans="1:14" ht="14.25">
      <c r="A149" s="171" t="str">
        <f>A127</f>
        <v>M8 afvalvorming</v>
      </c>
      <c r="B149" s="71" t="s">
        <v>87</v>
      </c>
      <c r="C149" s="237">
        <f>-B127</f>
        <v>0</v>
      </c>
      <c r="E149" s="234"/>
      <c r="F149" s="285"/>
      <c r="M149" s="286"/>
      <c r="N149" s="287"/>
    </row>
    <row r="150" spans="1:14" ht="14.25">
      <c r="A150" s="171" t="str">
        <f>A137</f>
        <v>M9 ruimtebeslag</v>
      </c>
      <c r="B150" s="71" t="s">
        <v>89</v>
      </c>
      <c r="C150" s="237">
        <f>-B137</f>
        <v>0</v>
      </c>
      <c r="E150" s="234"/>
      <c r="F150" s="285"/>
      <c r="M150" s="286"/>
      <c r="N150" s="287"/>
    </row>
    <row r="151" ht="12.75">
      <c r="A151" s="288"/>
    </row>
    <row r="155" ht="12.75"/>
    <row r="156" ht="12.75"/>
    <row r="157" ht="12.75"/>
  </sheetData>
  <sheetProtection sheet="1" scenarios="1"/>
  <printOptions/>
  <pageMargins left="0.5905511811023623" right="0.5905511811023623" top="0.984251968503937" bottom="0.984251968503937" header="0.5118110236220472" footer="0.5118110236220472"/>
  <pageSetup fitToHeight="1" fitToWidth="1" horizontalDpi="300" verticalDpi="300" orientation="portrait" paperSize="9" scale="97" r:id="rId3"/>
  <headerFooter alignWithMargins="0">
    <oddHeader>&amp;C&amp;F</oddHeader>
    <oddFooter>&amp;CMilieuverdienste in RMK</oddFooter>
  </headerFooter>
  <legacyDrawing r:id="rId2"/>
</worksheet>
</file>

<file path=xl/worksheets/sheet17.xml><?xml version="1.0" encoding="utf-8"?>
<worksheet xmlns="http://schemas.openxmlformats.org/spreadsheetml/2006/main" xmlns:r="http://schemas.openxmlformats.org/officeDocument/2006/relationships">
  <sheetPr codeName="Sheet9"/>
  <dimension ref="A1:S150"/>
  <sheetViews>
    <sheetView showGridLines="0" zoomScale="90" zoomScaleNormal="90" workbookViewId="0" topLeftCell="A1">
      <selection activeCell="A2" sqref="A2"/>
    </sheetView>
  </sheetViews>
  <sheetFormatPr defaultColWidth="9.140625" defaultRowHeight="12.75"/>
  <cols>
    <col min="1" max="1" width="22.28125" style="199" customWidth="1"/>
    <col min="2" max="2" width="8.8515625" style="290" customWidth="1"/>
    <col min="3" max="3" width="9.28125" style="290" customWidth="1"/>
    <col min="4" max="4" width="3.00390625" style="199" customWidth="1"/>
    <col min="5" max="5" width="8.8515625" style="290" customWidth="1"/>
    <col min="6" max="6" width="9.421875" style="290" customWidth="1"/>
    <col min="7" max="7" width="2.28125" style="199" customWidth="1"/>
    <col min="8" max="9" width="8.8515625" style="291" customWidth="1"/>
    <col min="10" max="10" width="3.8515625" style="199" customWidth="1"/>
    <col min="11" max="13" width="5.7109375" style="292" customWidth="1"/>
    <col min="14" max="14" width="8.8515625" style="199" customWidth="1"/>
    <col min="15" max="15" width="16.00390625" style="199" customWidth="1"/>
    <col min="16" max="16384" width="8.8515625" style="199" customWidth="1"/>
  </cols>
  <sheetData>
    <row r="1" ht="18">
      <c r="A1" s="289" t="s">
        <v>105</v>
      </c>
    </row>
    <row r="2" ht="12.75"/>
    <row r="3" ht="12.75">
      <c r="A3" s="293" t="str">
        <f>Stat!A3</f>
        <v>Terug naar inhoud:</v>
      </c>
    </row>
    <row r="4" ht="15" hidden="1">
      <c r="B4" s="294"/>
    </row>
    <row r="5" spans="1:2" ht="15" hidden="1">
      <c r="A5" s="295"/>
      <c r="B5" s="294"/>
    </row>
    <row r="6" ht="12.75">
      <c r="A6" s="296" t="s">
        <v>404</v>
      </c>
    </row>
    <row r="7" ht="15" customHeight="1"/>
    <row r="8" spans="1:13" ht="12.75">
      <c r="A8" s="297"/>
      <c r="B8" s="298" t="s">
        <v>106</v>
      </c>
      <c r="C8" s="298"/>
      <c r="D8" s="299"/>
      <c r="E8" s="300" t="s">
        <v>107</v>
      </c>
      <c r="F8" s="300"/>
      <c r="G8" s="299"/>
      <c r="H8" s="213" t="s">
        <v>108</v>
      </c>
      <c r="I8" s="301"/>
      <c r="K8" s="302"/>
      <c r="L8" s="302"/>
      <c r="M8" s="302"/>
    </row>
    <row r="9" spans="1:19" s="307" customFormat="1" ht="38.25">
      <c r="A9" s="11" t="s">
        <v>109</v>
      </c>
      <c r="B9" s="25" t="s">
        <v>110</v>
      </c>
      <c r="C9" s="303" t="s">
        <v>111</v>
      </c>
      <c r="D9" s="304"/>
      <c r="E9" s="30" t="s">
        <v>110</v>
      </c>
      <c r="F9" s="305" t="s">
        <v>111</v>
      </c>
      <c r="G9" s="304"/>
      <c r="H9" s="306" t="s">
        <v>110</v>
      </c>
      <c r="I9" s="214" t="s">
        <v>392</v>
      </c>
      <c r="K9" s="308" t="s">
        <v>31</v>
      </c>
      <c r="L9" s="308" t="s">
        <v>32</v>
      </c>
      <c r="M9" s="308" t="s">
        <v>33</v>
      </c>
      <c r="O9" s="199"/>
      <c r="P9" s="199"/>
      <c r="Q9" s="199"/>
      <c r="R9" s="199"/>
      <c r="S9" s="199"/>
    </row>
    <row r="10" spans="1:13" ht="12.75">
      <c r="A10" s="3" t="s">
        <v>112</v>
      </c>
      <c r="B10" s="26" t="s">
        <v>27</v>
      </c>
      <c r="C10" s="309" t="s">
        <v>113</v>
      </c>
      <c r="D10" s="299"/>
      <c r="E10" s="31" t="s">
        <v>114</v>
      </c>
      <c r="F10" s="310" t="s">
        <v>115</v>
      </c>
      <c r="G10" s="299"/>
      <c r="H10" s="301" t="s">
        <v>116</v>
      </c>
      <c r="I10" s="301" t="s">
        <v>393</v>
      </c>
      <c r="K10" s="302"/>
      <c r="L10" s="302"/>
      <c r="M10" s="302"/>
    </row>
    <row r="11" spans="2:13" s="311" customFormat="1" ht="12">
      <c r="B11" s="26" t="s">
        <v>117</v>
      </c>
      <c r="C11" s="26" t="s">
        <v>118</v>
      </c>
      <c r="D11" s="312"/>
      <c r="E11" s="31" t="s">
        <v>119</v>
      </c>
      <c r="F11" s="31" t="s">
        <v>119</v>
      </c>
      <c r="G11" s="312"/>
      <c r="H11" s="13" t="s">
        <v>120</v>
      </c>
      <c r="I11" s="13" t="s">
        <v>120</v>
      </c>
      <c r="K11" s="302"/>
      <c r="L11" s="302"/>
      <c r="M11" s="302"/>
    </row>
    <row r="12" spans="1:13" ht="12.75">
      <c r="A12" s="5" t="s">
        <v>121</v>
      </c>
      <c r="B12" s="26"/>
      <c r="C12" s="26"/>
      <c r="D12" s="299"/>
      <c r="E12" s="31"/>
      <c r="F12" s="31"/>
      <c r="G12" s="299"/>
      <c r="H12" s="213"/>
      <c r="I12" s="301"/>
      <c r="K12" s="302"/>
      <c r="L12" s="302"/>
      <c r="M12" s="302"/>
    </row>
    <row r="13" spans="1:13" ht="12.75">
      <c r="A13" s="5"/>
      <c r="B13" s="26"/>
      <c r="C13" s="26"/>
      <c r="D13" s="299"/>
      <c r="E13" s="31"/>
      <c r="F13" s="31"/>
      <c r="G13" s="299"/>
      <c r="H13" s="213"/>
      <c r="I13" s="301"/>
      <c r="K13" s="302"/>
      <c r="L13" s="302"/>
      <c r="M13" s="302"/>
    </row>
    <row r="14" spans="1:13" ht="12.75">
      <c r="A14" s="6" t="s">
        <v>122</v>
      </c>
      <c r="B14" s="26"/>
      <c r="C14" s="26"/>
      <c r="D14" s="299"/>
      <c r="E14" s="31"/>
      <c r="F14" s="31"/>
      <c r="G14" s="299"/>
      <c r="H14" s="213"/>
      <c r="I14" s="301"/>
      <c r="K14" s="302"/>
      <c r="L14" s="302"/>
      <c r="M14" s="302"/>
    </row>
    <row r="15" spans="1:13" ht="12.75">
      <c r="A15" s="5" t="s">
        <v>123</v>
      </c>
      <c r="B15" s="27">
        <v>0</v>
      </c>
      <c r="C15" s="27">
        <v>15</v>
      </c>
      <c r="D15" s="313"/>
      <c r="E15" s="32">
        <v>0.15</v>
      </c>
      <c r="F15" s="32">
        <v>20</v>
      </c>
      <c r="G15" s="313"/>
      <c r="H15" s="215">
        <v>0.4</v>
      </c>
      <c r="I15" s="314">
        <v>6.5</v>
      </c>
      <c r="K15" s="302"/>
      <c r="L15" s="302"/>
      <c r="M15" s="302"/>
    </row>
    <row r="16" spans="1:13" ht="12.75">
      <c r="A16" s="5" t="s">
        <v>125</v>
      </c>
      <c r="B16" s="27">
        <v>29</v>
      </c>
      <c r="C16" s="27">
        <v>55</v>
      </c>
      <c r="D16" s="315"/>
      <c r="E16" s="32">
        <v>10</v>
      </c>
      <c r="F16" s="32">
        <v>60</v>
      </c>
      <c r="G16" s="315"/>
      <c r="H16" s="314">
        <v>1</v>
      </c>
      <c r="I16" s="216">
        <v>25</v>
      </c>
      <c r="K16" s="302">
        <v>15</v>
      </c>
      <c r="L16" s="302">
        <v>0.4</v>
      </c>
      <c r="M16" s="302">
        <v>0.4</v>
      </c>
    </row>
    <row r="17" spans="1:13" ht="12.75">
      <c r="A17" s="5" t="s">
        <v>126</v>
      </c>
      <c r="B17" s="27">
        <v>200</v>
      </c>
      <c r="C17" s="27">
        <v>625</v>
      </c>
      <c r="D17" s="315"/>
      <c r="E17" s="32">
        <v>50</v>
      </c>
      <c r="F17" s="32">
        <v>625</v>
      </c>
      <c r="G17" s="315"/>
      <c r="H17" s="314">
        <v>75</v>
      </c>
      <c r="I17" s="216">
        <v>220</v>
      </c>
      <c r="K17" s="302">
        <v>30</v>
      </c>
      <c r="L17" s="302">
        <v>5</v>
      </c>
      <c r="M17" s="302">
        <v>0</v>
      </c>
    </row>
    <row r="18" spans="1:13" ht="12.75">
      <c r="A18" s="5" t="s">
        <v>127</v>
      </c>
      <c r="B18" s="27">
        <v>0</v>
      </c>
      <c r="C18" s="27">
        <v>0</v>
      </c>
      <c r="D18" s="315"/>
      <c r="E18" s="32">
        <v>0</v>
      </c>
      <c r="F18" s="32">
        <v>0</v>
      </c>
      <c r="G18" s="315"/>
      <c r="H18" s="314">
        <v>0.02</v>
      </c>
      <c r="I18" s="216">
        <v>0.2</v>
      </c>
      <c r="K18" s="302"/>
      <c r="L18" s="302"/>
      <c r="M18" s="302"/>
    </row>
    <row r="19" spans="1:19" ht="12.75">
      <c r="A19" s="5" t="s">
        <v>128</v>
      </c>
      <c r="B19" s="27">
        <v>0.8</v>
      </c>
      <c r="C19" s="27">
        <v>12</v>
      </c>
      <c r="D19" s="315"/>
      <c r="E19" s="32">
        <v>0.4</v>
      </c>
      <c r="F19" s="32">
        <v>6</v>
      </c>
      <c r="G19" s="315"/>
      <c r="H19" s="314">
        <v>0.08</v>
      </c>
      <c r="I19" s="216">
        <v>0.4</v>
      </c>
      <c r="K19" s="302">
        <v>0.4</v>
      </c>
      <c r="L19" s="302">
        <v>0.007</v>
      </c>
      <c r="M19" s="302">
        <v>0.021</v>
      </c>
      <c r="O19" s="316"/>
      <c r="P19" s="316"/>
      <c r="Q19" s="316"/>
      <c r="R19" s="316"/>
      <c r="S19" s="316"/>
    </row>
    <row r="20" spans="1:19" ht="12.75">
      <c r="A20" s="5" t="s">
        <v>129</v>
      </c>
      <c r="B20" s="27">
        <v>100</v>
      </c>
      <c r="C20" s="27">
        <v>380</v>
      </c>
      <c r="D20" s="315"/>
      <c r="E20" s="32">
        <v>1</v>
      </c>
      <c r="F20" s="32">
        <v>30</v>
      </c>
      <c r="G20" s="315"/>
      <c r="H20" s="314">
        <v>0.3</v>
      </c>
      <c r="I20" s="216">
        <v>8.7</v>
      </c>
      <c r="K20" s="302">
        <v>50</v>
      </c>
      <c r="L20" s="302">
        <v>2</v>
      </c>
      <c r="M20" s="302">
        <v>0</v>
      </c>
      <c r="O20" s="316"/>
      <c r="P20" s="316"/>
      <c r="Q20" s="316"/>
      <c r="R20" s="316"/>
      <c r="S20" s="316"/>
    </row>
    <row r="21" spans="1:19" ht="12.75">
      <c r="A21" s="5" t="s">
        <v>130</v>
      </c>
      <c r="B21" s="27">
        <v>20</v>
      </c>
      <c r="C21" s="27">
        <v>240</v>
      </c>
      <c r="D21" s="315"/>
      <c r="E21" s="32">
        <v>20</v>
      </c>
      <c r="F21" s="32">
        <v>100</v>
      </c>
      <c r="G21" s="315"/>
      <c r="H21" s="314">
        <v>0.2</v>
      </c>
      <c r="I21" s="216">
        <v>2.8</v>
      </c>
      <c r="K21" s="302">
        <v>2</v>
      </c>
      <c r="L21" s="302">
        <v>0.28</v>
      </c>
      <c r="M21" s="302">
        <v>0</v>
      </c>
      <c r="O21" s="316"/>
      <c r="P21" s="316"/>
      <c r="Q21" s="316"/>
      <c r="R21" s="316"/>
      <c r="S21" s="316"/>
    </row>
    <row r="22" spans="1:19" ht="12.75">
      <c r="A22" s="5" t="s">
        <v>131</v>
      </c>
      <c r="B22" s="27">
        <v>36</v>
      </c>
      <c r="C22" s="27">
        <v>190</v>
      </c>
      <c r="D22" s="315"/>
      <c r="E22" s="32">
        <v>15</v>
      </c>
      <c r="F22" s="32">
        <v>75</v>
      </c>
      <c r="G22" s="315"/>
      <c r="H22" s="314">
        <v>0.5</v>
      </c>
      <c r="I22" s="216">
        <v>1.5</v>
      </c>
      <c r="K22" s="302">
        <v>15</v>
      </c>
      <c r="L22" s="302">
        <v>0.6</v>
      </c>
      <c r="M22" s="302">
        <v>0.6</v>
      </c>
      <c r="O22" s="316"/>
      <c r="P22" s="316"/>
      <c r="Q22" s="316"/>
      <c r="R22" s="316"/>
      <c r="S22" s="316"/>
    </row>
    <row r="23" spans="1:19" ht="12.75">
      <c r="A23" s="5" t="s">
        <v>132</v>
      </c>
      <c r="B23" s="27">
        <v>0.3</v>
      </c>
      <c r="C23" s="27">
        <v>10</v>
      </c>
      <c r="D23" s="315"/>
      <c r="E23" s="32">
        <v>0.05</v>
      </c>
      <c r="F23" s="32">
        <v>0.3</v>
      </c>
      <c r="G23" s="315"/>
      <c r="H23" s="314">
        <v>0.01</v>
      </c>
      <c r="I23" s="216">
        <v>0.02</v>
      </c>
      <c r="K23" s="302">
        <v>0.2</v>
      </c>
      <c r="L23" s="302">
        <v>0.0034</v>
      </c>
      <c r="M23" s="302">
        <v>0.0017</v>
      </c>
      <c r="O23" s="316"/>
      <c r="P23" s="316"/>
      <c r="Q23" s="316"/>
      <c r="R23" s="316"/>
      <c r="S23" s="316"/>
    </row>
    <row r="24" spans="1:19" ht="12.75">
      <c r="A24" s="5" t="s">
        <v>133</v>
      </c>
      <c r="B24" s="27">
        <v>85</v>
      </c>
      <c r="C24" s="27">
        <v>530</v>
      </c>
      <c r="D24" s="315"/>
      <c r="E24" s="32">
        <v>15</v>
      </c>
      <c r="F24" s="32">
        <v>75</v>
      </c>
      <c r="G24" s="315"/>
      <c r="H24" s="314">
        <v>0.3</v>
      </c>
      <c r="I24" s="216">
        <v>11</v>
      </c>
      <c r="K24" s="302">
        <v>50</v>
      </c>
      <c r="L24" s="302">
        <v>1</v>
      </c>
      <c r="M24" s="302">
        <v>1</v>
      </c>
      <c r="O24" s="316"/>
      <c r="P24" s="316"/>
      <c r="Q24" s="316"/>
      <c r="R24" s="316"/>
      <c r="S24" s="316"/>
    </row>
    <row r="25" spans="1:19" ht="12.75">
      <c r="A25" s="5" t="s">
        <v>134</v>
      </c>
      <c r="B25" s="27">
        <v>10</v>
      </c>
      <c r="C25" s="27">
        <v>200</v>
      </c>
      <c r="D25" s="315"/>
      <c r="E25" s="32">
        <v>5</v>
      </c>
      <c r="F25" s="32">
        <v>300</v>
      </c>
      <c r="G25" s="315"/>
      <c r="H25" s="314">
        <v>4.3</v>
      </c>
      <c r="I25" s="216">
        <v>290</v>
      </c>
      <c r="K25" s="302">
        <v>1</v>
      </c>
      <c r="L25" s="302">
        <v>0</v>
      </c>
      <c r="M25" s="302">
        <v>0</v>
      </c>
      <c r="O25" s="316"/>
      <c r="P25" s="316"/>
      <c r="Q25" s="316"/>
      <c r="R25" s="316"/>
      <c r="S25" s="316"/>
    </row>
    <row r="26" spans="1:19" ht="12.75">
      <c r="A26" s="5" t="s">
        <v>135</v>
      </c>
      <c r="B26" s="27">
        <v>0</v>
      </c>
      <c r="C26" s="27">
        <v>0</v>
      </c>
      <c r="D26" s="315"/>
      <c r="E26" s="32" t="s">
        <v>124</v>
      </c>
      <c r="F26" s="32" t="s">
        <v>124</v>
      </c>
      <c r="G26" s="315"/>
      <c r="H26" s="314">
        <v>0.2</v>
      </c>
      <c r="I26" s="216">
        <v>18</v>
      </c>
      <c r="K26" s="302"/>
      <c r="L26" s="302"/>
      <c r="M26" s="302"/>
      <c r="O26" s="316"/>
      <c r="P26" s="316"/>
      <c r="Q26" s="316"/>
      <c r="R26" s="316"/>
      <c r="S26" s="316"/>
    </row>
    <row r="27" spans="1:19" ht="12.75">
      <c r="A27" s="5" t="s">
        <v>136</v>
      </c>
      <c r="B27" s="27">
        <v>35</v>
      </c>
      <c r="C27" s="27">
        <v>210</v>
      </c>
      <c r="D27" s="315"/>
      <c r="E27" s="32">
        <v>15</v>
      </c>
      <c r="F27" s="32">
        <v>75</v>
      </c>
      <c r="G27" s="315"/>
      <c r="H27" s="314">
        <v>3.3</v>
      </c>
      <c r="I27" s="216">
        <v>5.1</v>
      </c>
      <c r="K27" s="302">
        <v>10</v>
      </c>
      <c r="L27" s="302">
        <v>1</v>
      </c>
      <c r="M27" s="302">
        <v>0</v>
      </c>
      <c r="O27" s="316"/>
      <c r="P27" s="316"/>
      <c r="Q27" s="316"/>
      <c r="R27" s="316"/>
      <c r="S27" s="316"/>
    </row>
    <row r="28" spans="1:19" ht="12.75">
      <c r="A28" s="5" t="s">
        <v>137</v>
      </c>
      <c r="B28" s="27">
        <v>140</v>
      </c>
      <c r="C28" s="27">
        <v>720</v>
      </c>
      <c r="D28" s="315"/>
      <c r="E28" s="32">
        <v>65</v>
      </c>
      <c r="F28" s="32">
        <v>800</v>
      </c>
      <c r="G28" s="315"/>
      <c r="H28" s="314">
        <v>2.9</v>
      </c>
      <c r="I28" s="216">
        <v>9.4</v>
      </c>
      <c r="K28" s="302">
        <v>50</v>
      </c>
      <c r="L28" s="302">
        <v>3</v>
      </c>
      <c r="M28" s="302">
        <v>1.5</v>
      </c>
      <c r="O28" s="316"/>
      <c r="P28" s="316"/>
      <c r="Q28" s="316"/>
      <c r="R28" s="316"/>
      <c r="S28" s="316"/>
    </row>
    <row r="29" spans="1:19" ht="12.75">
      <c r="A29" s="5" t="s">
        <v>138</v>
      </c>
      <c r="B29" s="27">
        <v>0</v>
      </c>
      <c r="C29" s="27">
        <v>0</v>
      </c>
      <c r="D29" s="315"/>
      <c r="E29" s="32">
        <v>0</v>
      </c>
      <c r="F29" s="32">
        <v>0</v>
      </c>
      <c r="G29" s="315"/>
      <c r="H29" s="314">
        <v>0.0008</v>
      </c>
      <c r="I29" s="216">
        <v>0.08</v>
      </c>
      <c r="K29" s="302"/>
      <c r="L29" s="302"/>
      <c r="M29" s="302"/>
      <c r="O29" s="316"/>
      <c r="P29" s="316"/>
      <c r="Q29" s="316"/>
      <c r="R29" s="316"/>
      <c r="S29" s="316"/>
    </row>
    <row r="30" spans="1:13" s="316" customFormat="1" ht="12.75">
      <c r="A30" s="21" t="s">
        <v>139</v>
      </c>
      <c r="B30" s="22">
        <v>1</v>
      </c>
      <c r="C30" s="22">
        <v>20</v>
      </c>
      <c r="D30" s="317"/>
      <c r="E30" s="33">
        <v>5</v>
      </c>
      <c r="F30" s="33">
        <v>1500</v>
      </c>
      <c r="G30" s="317"/>
      <c r="H30" s="216">
        <v>0</v>
      </c>
      <c r="I30" s="216" t="s">
        <v>124</v>
      </c>
      <c r="K30" s="302"/>
      <c r="L30" s="302"/>
      <c r="M30" s="302"/>
    </row>
    <row r="31" spans="1:13" s="316" customFormat="1" ht="12.75">
      <c r="A31" s="21" t="s">
        <v>140</v>
      </c>
      <c r="B31" s="22">
        <v>5</v>
      </c>
      <c r="C31" s="22">
        <v>50</v>
      </c>
      <c r="D31" s="317"/>
      <c r="E31" s="33">
        <v>10</v>
      </c>
      <c r="F31" s="33">
        <v>1500</v>
      </c>
      <c r="G31" s="317"/>
      <c r="H31" s="216">
        <v>0</v>
      </c>
      <c r="I31" s="216" t="s">
        <v>124</v>
      </c>
      <c r="K31" s="302"/>
      <c r="L31" s="302"/>
      <c r="M31" s="302"/>
    </row>
    <row r="32" spans="1:13" s="316" customFormat="1" ht="12.75">
      <c r="A32" s="21" t="s">
        <v>141</v>
      </c>
      <c r="B32" s="22">
        <v>5</v>
      </c>
      <c r="C32" s="22">
        <v>650</v>
      </c>
      <c r="D32" s="317"/>
      <c r="E32" s="33">
        <v>10</v>
      </c>
      <c r="F32" s="33">
        <v>1500</v>
      </c>
      <c r="G32" s="317"/>
      <c r="H32" s="216">
        <v>0</v>
      </c>
      <c r="I32" s="216" t="s">
        <v>124</v>
      </c>
      <c r="K32" s="302"/>
      <c r="L32" s="302"/>
      <c r="M32" s="302"/>
    </row>
    <row r="33" spans="1:13" s="316" customFormat="1" ht="12.75">
      <c r="A33" s="21" t="s">
        <v>142</v>
      </c>
      <c r="B33" s="22">
        <v>0</v>
      </c>
      <c r="C33" s="22">
        <v>20</v>
      </c>
      <c r="D33" s="317"/>
      <c r="E33" s="33">
        <v>0</v>
      </c>
      <c r="F33" s="33">
        <v>1500</v>
      </c>
      <c r="G33" s="317"/>
      <c r="H33" s="216">
        <v>0</v>
      </c>
      <c r="I33" s="216" t="s">
        <v>124</v>
      </c>
      <c r="K33" s="302"/>
      <c r="L33" s="302"/>
      <c r="M33" s="302"/>
    </row>
    <row r="34" spans="1:13" s="316" customFormat="1" ht="12.75">
      <c r="A34" s="21"/>
      <c r="B34" s="22"/>
      <c r="C34" s="22"/>
      <c r="D34" s="317"/>
      <c r="E34" s="33"/>
      <c r="F34" s="33"/>
      <c r="G34" s="317"/>
      <c r="H34" s="216"/>
      <c r="I34" s="216"/>
      <c r="K34" s="302"/>
      <c r="L34" s="302"/>
      <c r="M34" s="302"/>
    </row>
    <row r="35" spans="1:13" s="316" customFormat="1" ht="12.75">
      <c r="A35" s="6" t="s">
        <v>143</v>
      </c>
      <c r="B35" s="22"/>
      <c r="C35" s="22"/>
      <c r="D35" s="317"/>
      <c r="E35" s="33"/>
      <c r="F35" s="33"/>
      <c r="G35" s="317"/>
      <c r="H35" s="216"/>
      <c r="I35" s="216"/>
      <c r="K35" s="302"/>
      <c r="L35" s="302"/>
      <c r="M35" s="302"/>
    </row>
    <row r="36" spans="1:13" s="316" customFormat="1" ht="12.75">
      <c r="A36" s="5" t="s">
        <v>144</v>
      </c>
      <c r="B36" s="22">
        <v>0</v>
      </c>
      <c r="C36" s="22">
        <v>0</v>
      </c>
      <c r="D36" s="317"/>
      <c r="E36" s="33">
        <v>0</v>
      </c>
      <c r="F36" s="33">
        <v>0</v>
      </c>
      <c r="G36" s="317"/>
      <c r="H36" s="216">
        <v>0</v>
      </c>
      <c r="I36" s="216" t="s">
        <v>124</v>
      </c>
      <c r="K36" s="302"/>
      <c r="L36" s="302"/>
      <c r="M36" s="302"/>
    </row>
    <row r="37" spans="1:13" s="316" customFormat="1" ht="12.75">
      <c r="A37" s="5" t="s">
        <v>145</v>
      </c>
      <c r="B37" s="22">
        <v>0</v>
      </c>
      <c r="C37" s="22">
        <v>0</v>
      </c>
      <c r="D37" s="317"/>
      <c r="E37" s="33">
        <v>0</v>
      </c>
      <c r="F37" s="33">
        <v>0</v>
      </c>
      <c r="G37" s="317"/>
      <c r="H37" s="216">
        <v>0</v>
      </c>
      <c r="I37" s="216" t="s">
        <v>124</v>
      </c>
      <c r="K37" s="302"/>
      <c r="L37" s="302"/>
      <c r="M37" s="302"/>
    </row>
    <row r="38" spans="1:13" s="316" customFormat="1" ht="12.75">
      <c r="A38" s="21" t="s">
        <v>146</v>
      </c>
      <c r="B38" s="22">
        <v>0.05</v>
      </c>
      <c r="C38" s="22">
        <v>1</v>
      </c>
      <c r="D38" s="317"/>
      <c r="E38" s="33">
        <v>0.2</v>
      </c>
      <c r="F38" s="33">
        <v>30</v>
      </c>
      <c r="G38" s="317"/>
      <c r="H38" s="216">
        <v>0</v>
      </c>
      <c r="I38" s="216" t="s">
        <v>124</v>
      </c>
      <c r="K38" s="302"/>
      <c r="L38" s="302"/>
      <c r="M38" s="302"/>
    </row>
    <row r="39" spans="1:13" s="316" customFormat="1" ht="12.75">
      <c r="A39" s="21" t="s">
        <v>147</v>
      </c>
      <c r="B39" s="22">
        <v>0</v>
      </c>
      <c r="C39" s="22">
        <v>0</v>
      </c>
      <c r="D39" s="317"/>
      <c r="E39" s="33">
        <v>0</v>
      </c>
      <c r="F39" s="33">
        <v>0</v>
      </c>
      <c r="G39" s="317"/>
      <c r="H39" s="216">
        <v>0</v>
      </c>
      <c r="I39" s="216" t="s">
        <v>124</v>
      </c>
      <c r="K39" s="302"/>
      <c r="L39" s="302"/>
      <c r="M39" s="302"/>
    </row>
    <row r="40" spans="1:13" s="316" customFormat="1" ht="12.75">
      <c r="A40" s="21" t="s">
        <v>148</v>
      </c>
      <c r="B40" s="22">
        <v>0</v>
      </c>
      <c r="C40" s="22">
        <v>0</v>
      </c>
      <c r="D40" s="317"/>
      <c r="E40" s="33">
        <v>0</v>
      </c>
      <c r="F40" s="33">
        <v>0</v>
      </c>
      <c r="G40" s="317"/>
      <c r="H40" s="216">
        <v>0</v>
      </c>
      <c r="I40" s="216" t="s">
        <v>124</v>
      </c>
      <c r="K40" s="302"/>
      <c r="L40" s="302"/>
      <c r="M40" s="302"/>
    </row>
    <row r="41" spans="1:13" s="316" customFormat="1" ht="12.75">
      <c r="A41" s="21" t="s">
        <v>149</v>
      </c>
      <c r="B41" s="22">
        <v>0</v>
      </c>
      <c r="C41" s="22">
        <v>20</v>
      </c>
      <c r="D41" s="317"/>
      <c r="E41" s="33">
        <v>0</v>
      </c>
      <c r="F41" s="33">
        <v>1250</v>
      </c>
      <c r="G41" s="317"/>
      <c r="H41" s="216">
        <v>0</v>
      </c>
      <c r="I41" s="216" t="s">
        <v>124</v>
      </c>
      <c r="K41" s="302"/>
      <c r="L41" s="302"/>
      <c r="M41" s="302"/>
    </row>
    <row r="42" spans="1:13" s="316" customFormat="1" ht="12.75">
      <c r="A42" s="21" t="s">
        <v>150</v>
      </c>
      <c r="B42" s="22">
        <v>0</v>
      </c>
      <c r="C42" s="22">
        <v>5</v>
      </c>
      <c r="D42" s="317"/>
      <c r="E42" s="33">
        <v>0</v>
      </c>
      <c r="F42" s="33">
        <v>200</v>
      </c>
      <c r="G42" s="317"/>
      <c r="H42" s="216">
        <v>0</v>
      </c>
      <c r="I42" s="216" t="s">
        <v>124</v>
      </c>
      <c r="K42" s="302"/>
      <c r="L42" s="302"/>
      <c r="M42" s="302"/>
    </row>
    <row r="43" spans="1:13" s="316" customFormat="1" ht="12.75">
      <c r="A43" s="21" t="s">
        <v>151</v>
      </c>
      <c r="B43" s="22">
        <v>0.1</v>
      </c>
      <c r="C43" s="22">
        <v>45</v>
      </c>
      <c r="D43" s="317"/>
      <c r="E43" s="33">
        <v>0.5</v>
      </c>
      <c r="F43" s="33">
        <v>15000</v>
      </c>
      <c r="G43" s="317"/>
      <c r="H43" s="216">
        <v>0</v>
      </c>
      <c r="I43" s="216" t="s">
        <v>124</v>
      </c>
      <c r="K43" s="302"/>
      <c r="L43" s="302"/>
      <c r="M43" s="302"/>
    </row>
    <row r="44" spans="1:19" s="316" customFormat="1" ht="12.75">
      <c r="A44" s="21" t="s">
        <v>152</v>
      </c>
      <c r="B44" s="22">
        <v>0</v>
      </c>
      <c r="C44" s="22">
        <v>0</v>
      </c>
      <c r="D44" s="317"/>
      <c r="E44" s="33">
        <v>0</v>
      </c>
      <c r="F44" s="33">
        <v>0</v>
      </c>
      <c r="G44" s="317"/>
      <c r="H44" s="216">
        <v>0</v>
      </c>
      <c r="I44" s="216" t="s">
        <v>124</v>
      </c>
      <c r="K44" s="302"/>
      <c r="L44" s="302"/>
      <c r="M44" s="302"/>
      <c r="O44" s="199"/>
      <c r="P44" s="199"/>
      <c r="Q44" s="199"/>
      <c r="R44" s="199"/>
      <c r="S44" s="199"/>
    </row>
    <row r="45" spans="1:13" s="316" customFormat="1" ht="12.75">
      <c r="A45" s="21" t="s">
        <v>153</v>
      </c>
      <c r="B45" s="22">
        <v>0</v>
      </c>
      <c r="C45" s="22">
        <v>0</v>
      </c>
      <c r="D45" s="317"/>
      <c r="E45" s="33">
        <v>0</v>
      </c>
      <c r="F45" s="33">
        <v>0</v>
      </c>
      <c r="G45" s="317"/>
      <c r="H45" s="216">
        <v>0</v>
      </c>
      <c r="I45" s="216" t="s">
        <v>124</v>
      </c>
      <c r="K45" s="302"/>
      <c r="L45" s="302"/>
      <c r="M45" s="302"/>
    </row>
    <row r="46" spans="1:13" s="316" customFormat="1" ht="12.75">
      <c r="A46" s="21" t="s">
        <v>154</v>
      </c>
      <c r="B46" s="22">
        <v>0.05</v>
      </c>
      <c r="C46" s="22">
        <v>50</v>
      </c>
      <c r="D46" s="317"/>
      <c r="E46" s="33">
        <v>0.2</v>
      </c>
      <c r="F46" s="33">
        <v>150</v>
      </c>
      <c r="G46" s="317"/>
      <c r="H46" s="216">
        <v>0</v>
      </c>
      <c r="I46" s="216" t="s">
        <v>124</v>
      </c>
      <c r="K46" s="302"/>
      <c r="L46" s="302"/>
      <c r="M46" s="302"/>
    </row>
    <row r="47" spans="1:13" s="316" customFormat="1" ht="12.75">
      <c r="A47" s="21" t="s">
        <v>155</v>
      </c>
      <c r="B47" s="22">
        <v>0</v>
      </c>
      <c r="C47" s="22">
        <v>0</v>
      </c>
      <c r="D47" s="317"/>
      <c r="E47" s="33">
        <v>0</v>
      </c>
      <c r="F47" s="33">
        <v>0</v>
      </c>
      <c r="G47" s="317"/>
      <c r="H47" s="216">
        <v>0</v>
      </c>
      <c r="I47" s="216" t="s">
        <v>124</v>
      </c>
      <c r="K47" s="302"/>
      <c r="L47" s="302"/>
      <c r="M47" s="302"/>
    </row>
    <row r="48" spans="1:13" s="316" customFormat="1" ht="12.75">
      <c r="A48" s="21" t="s">
        <v>156</v>
      </c>
      <c r="B48" s="22">
        <v>0.05</v>
      </c>
      <c r="C48" s="22">
        <v>40</v>
      </c>
      <c r="D48" s="317"/>
      <c r="E48" s="33">
        <v>0.2</v>
      </c>
      <c r="F48" s="33">
        <v>2000</v>
      </c>
      <c r="G48" s="317"/>
      <c r="H48" s="216">
        <v>0</v>
      </c>
      <c r="I48" s="216" t="s">
        <v>124</v>
      </c>
      <c r="K48" s="302"/>
      <c r="L48" s="302"/>
      <c r="M48" s="302"/>
    </row>
    <row r="49" spans="1:13" s="316" customFormat="1" ht="12.75">
      <c r="A49" s="21" t="s">
        <v>157</v>
      </c>
      <c r="B49" s="22">
        <v>0</v>
      </c>
      <c r="C49" s="22">
        <v>0</v>
      </c>
      <c r="D49" s="317"/>
      <c r="E49" s="33">
        <v>0</v>
      </c>
      <c r="F49" s="33">
        <v>0</v>
      </c>
      <c r="G49" s="317"/>
      <c r="H49" s="216">
        <v>0</v>
      </c>
      <c r="I49" s="216" t="s">
        <v>124</v>
      </c>
      <c r="K49" s="302"/>
      <c r="L49" s="302"/>
      <c r="M49" s="302"/>
    </row>
    <row r="50" spans="1:13" s="316" customFormat="1" ht="12.75">
      <c r="A50" s="21" t="s">
        <v>158</v>
      </c>
      <c r="B50" s="22">
        <v>0.1</v>
      </c>
      <c r="C50" s="22">
        <v>60</v>
      </c>
      <c r="D50" s="317"/>
      <c r="E50" s="33">
        <v>0.5</v>
      </c>
      <c r="F50" s="33">
        <v>5</v>
      </c>
      <c r="G50" s="317"/>
      <c r="H50" s="216">
        <v>0</v>
      </c>
      <c r="I50" s="216" t="s">
        <v>124</v>
      </c>
      <c r="K50" s="302"/>
      <c r="L50" s="302"/>
      <c r="M50" s="302"/>
    </row>
    <row r="51" spans="1:13" s="316" customFormat="1" ht="12.75">
      <c r="A51" s="21" t="s">
        <v>159</v>
      </c>
      <c r="B51" s="22">
        <v>0</v>
      </c>
      <c r="C51" s="22">
        <v>10</v>
      </c>
      <c r="D51" s="317"/>
      <c r="E51" s="33">
        <v>0</v>
      </c>
      <c r="F51" s="33">
        <v>800</v>
      </c>
      <c r="G51" s="317"/>
      <c r="H51" s="216">
        <v>0</v>
      </c>
      <c r="I51" s="216" t="s">
        <v>124</v>
      </c>
      <c r="K51" s="302"/>
      <c r="L51" s="302"/>
      <c r="M51" s="302"/>
    </row>
    <row r="52" spans="1:13" s="316" customFormat="1" ht="12.75">
      <c r="A52" s="21" t="s">
        <v>160</v>
      </c>
      <c r="B52" s="22">
        <v>0</v>
      </c>
      <c r="C52" s="22">
        <v>0</v>
      </c>
      <c r="D52" s="317"/>
      <c r="E52" s="33">
        <v>0</v>
      </c>
      <c r="F52" s="33">
        <v>0</v>
      </c>
      <c r="G52" s="317"/>
      <c r="H52" s="216">
        <v>0</v>
      </c>
      <c r="I52" s="216" t="s">
        <v>124</v>
      </c>
      <c r="K52" s="302"/>
      <c r="L52" s="302"/>
      <c r="M52" s="302"/>
    </row>
    <row r="53" spans="1:19" s="316" customFormat="1" ht="12.75">
      <c r="A53" s="21" t="s">
        <v>161</v>
      </c>
      <c r="B53" s="22">
        <v>0</v>
      </c>
      <c r="C53" s="22">
        <v>0</v>
      </c>
      <c r="D53" s="317"/>
      <c r="E53" s="33">
        <v>0</v>
      </c>
      <c r="F53" s="33">
        <v>0</v>
      </c>
      <c r="G53" s="317"/>
      <c r="H53" s="216">
        <v>0</v>
      </c>
      <c r="I53" s="216" t="s">
        <v>124</v>
      </c>
      <c r="K53" s="302"/>
      <c r="L53" s="302"/>
      <c r="M53" s="302"/>
      <c r="O53" s="199"/>
      <c r="P53" s="199"/>
      <c r="Q53" s="199"/>
      <c r="R53" s="199"/>
      <c r="S53" s="199"/>
    </row>
    <row r="54" spans="1:19" s="316" customFormat="1" ht="12.75">
      <c r="A54" s="21" t="s">
        <v>162</v>
      </c>
      <c r="B54" s="22">
        <v>0</v>
      </c>
      <c r="C54" s="22">
        <v>0</v>
      </c>
      <c r="D54" s="317"/>
      <c r="E54" s="33">
        <v>0</v>
      </c>
      <c r="F54" s="33">
        <v>0</v>
      </c>
      <c r="G54" s="317"/>
      <c r="H54" s="216">
        <v>0</v>
      </c>
      <c r="I54" s="216" t="s">
        <v>124</v>
      </c>
      <c r="K54" s="302"/>
      <c r="L54" s="302"/>
      <c r="M54" s="302"/>
      <c r="O54" s="199"/>
      <c r="P54" s="199"/>
      <c r="Q54" s="199"/>
      <c r="R54" s="199"/>
      <c r="S54" s="199"/>
    </row>
    <row r="55" spans="1:13" ht="12.75">
      <c r="A55" s="3" t="s">
        <v>163</v>
      </c>
      <c r="B55" s="318">
        <v>50</v>
      </c>
      <c r="C55" s="318">
        <v>5000</v>
      </c>
      <c r="D55" s="319"/>
      <c r="E55" s="320">
        <v>50</v>
      </c>
      <c r="F55" s="320">
        <v>600</v>
      </c>
      <c r="G55" s="319"/>
      <c r="H55" s="321">
        <v>0</v>
      </c>
      <c r="I55" s="216" t="s">
        <v>124</v>
      </c>
      <c r="K55" s="302"/>
      <c r="L55" s="302"/>
      <c r="M55" s="302"/>
    </row>
    <row r="56" spans="1:19" s="316" customFormat="1" ht="12.75">
      <c r="A56" s="21" t="s">
        <v>164</v>
      </c>
      <c r="B56" s="22">
        <v>0.1</v>
      </c>
      <c r="C56" s="22">
        <v>0.5</v>
      </c>
      <c r="D56" s="317"/>
      <c r="E56" s="33">
        <v>0.5</v>
      </c>
      <c r="F56" s="33">
        <v>30</v>
      </c>
      <c r="G56" s="317"/>
      <c r="H56" s="216">
        <v>0</v>
      </c>
      <c r="I56" s="216" t="s">
        <v>124</v>
      </c>
      <c r="K56" s="302"/>
      <c r="L56" s="302"/>
      <c r="M56" s="302"/>
      <c r="O56" s="199"/>
      <c r="P56" s="199"/>
      <c r="Q56" s="199"/>
      <c r="R56" s="199"/>
      <c r="S56" s="199"/>
    </row>
    <row r="57" spans="1:19" s="316" customFormat="1" ht="12.75">
      <c r="A57" s="21" t="s">
        <v>165</v>
      </c>
      <c r="B57" s="22">
        <v>0</v>
      </c>
      <c r="C57" s="22">
        <v>10</v>
      </c>
      <c r="D57" s="317"/>
      <c r="E57" s="33">
        <v>0</v>
      </c>
      <c r="F57" s="33">
        <v>600</v>
      </c>
      <c r="G57" s="317"/>
      <c r="H57" s="216">
        <v>0</v>
      </c>
      <c r="I57" s="216" t="s">
        <v>124</v>
      </c>
      <c r="K57" s="302"/>
      <c r="L57" s="302"/>
      <c r="M57" s="302"/>
      <c r="O57" s="199"/>
      <c r="P57" s="199"/>
      <c r="Q57" s="199"/>
      <c r="R57" s="199"/>
      <c r="S57" s="199"/>
    </row>
    <row r="58" spans="1:19" s="316" customFormat="1" ht="12.75">
      <c r="A58" s="21" t="s">
        <v>166</v>
      </c>
      <c r="B58" s="22">
        <v>0.1</v>
      </c>
      <c r="C58" s="22">
        <v>100</v>
      </c>
      <c r="D58" s="317"/>
      <c r="E58" s="33">
        <v>0.5</v>
      </c>
      <c r="F58" s="33">
        <v>300</v>
      </c>
      <c r="G58" s="317"/>
      <c r="H58" s="216">
        <v>0</v>
      </c>
      <c r="I58" s="216" t="s">
        <v>124</v>
      </c>
      <c r="K58" s="302"/>
      <c r="L58" s="302"/>
      <c r="M58" s="302"/>
      <c r="O58" s="199"/>
      <c r="P58" s="199"/>
      <c r="Q58" s="199"/>
      <c r="R58" s="199"/>
      <c r="S58" s="199"/>
    </row>
    <row r="59" spans="1:19" s="316" customFormat="1" ht="12.75">
      <c r="A59" s="21" t="s">
        <v>167</v>
      </c>
      <c r="B59" s="22">
        <v>0.1</v>
      </c>
      <c r="C59" s="22">
        <v>2</v>
      </c>
      <c r="D59" s="317"/>
      <c r="E59" s="33">
        <v>0.5</v>
      </c>
      <c r="F59" s="33">
        <v>300</v>
      </c>
      <c r="G59" s="317"/>
      <c r="H59" s="216">
        <v>0</v>
      </c>
      <c r="I59" s="216" t="s">
        <v>124</v>
      </c>
      <c r="K59" s="302"/>
      <c r="L59" s="302"/>
      <c r="M59" s="302"/>
      <c r="O59" s="199"/>
      <c r="P59" s="199"/>
      <c r="Q59" s="199"/>
      <c r="R59" s="199"/>
      <c r="S59" s="199"/>
    </row>
    <row r="60" spans="1:19" s="316" customFormat="1" ht="12.75">
      <c r="A60" s="21" t="s">
        <v>168</v>
      </c>
      <c r="B60" s="22">
        <v>0.1</v>
      </c>
      <c r="C60" s="22">
        <v>90</v>
      </c>
      <c r="D60" s="317"/>
      <c r="E60" s="33">
        <v>0.5</v>
      </c>
      <c r="F60" s="33">
        <v>5000</v>
      </c>
      <c r="G60" s="317"/>
      <c r="H60" s="216">
        <v>0</v>
      </c>
      <c r="I60" s="216" t="s">
        <v>124</v>
      </c>
      <c r="K60" s="302"/>
      <c r="L60" s="302"/>
      <c r="M60" s="302"/>
      <c r="O60" s="199"/>
      <c r="P60" s="199"/>
      <c r="Q60" s="199"/>
      <c r="R60" s="199"/>
      <c r="S60" s="199"/>
    </row>
    <row r="61" spans="1:19" s="316" customFormat="1" ht="12.75">
      <c r="A61" s="21" t="s">
        <v>169</v>
      </c>
      <c r="B61" s="22">
        <v>0.05</v>
      </c>
      <c r="C61" s="22">
        <v>130</v>
      </c>
      <c r="D61" s="317"/>
      <c r="E61" s="33">
        <v>0.2</v>
      </c>
      <c r="F61" s="33">
        <v>1000</v>
      </c>
      <c r="G61" s="317"/>
      <c r="H61" s="216">
        <v>0</v>
      </c>
      <c r="I61" s="216" t="s">
        <v>124</v>
      </c>
      <c r="K61" s="302"/>
      <c r="L61" s="302"/>
      <c r="M61" s="302"/>
      <c r="O61" s="199"/>
      <c r="P61" s="199"/>
      <c r="Q61" s="199"/>
      <c r="R61" s="199"/>
      <c r="S61" s="199"/>
    </row>
    <row r="62" spans="1:19" s="316" customFormat="1" ht="12.75">
      <c r="A62" s="21" t="s">
        <v>170</v>
      </c>
      <c r="B62" s="22">
        <v>0.05</v>
      </c>
      <c r="C62" s="22">
        <v>25</v>
      </c>
      <c r="D62" s="317"/>
      <c r="E62" s="33">
        <v>0.2</v>
      </c>
      <c r="F62" s="33">
        <v>70</v>
      </c>
      <c r="G62" s="317"/>
      <c r="H62" s="216">
        <v>0</v>
      </c>
      <c r="I62" s="216" t="s">
        <v>124</v>
      </c>
      <c r="K62" s="302"/>
      <c r="L62" s="302"/>
      <c r="M62" s="302"/>
      <c r="O62" s="199"/>
      <c r="P62" s="199"/>
      <c r="Q62" s="199"/>
      <c r="R62" s="199"/>
      <c r="S62" s="199"/>
    </row>
    <row r="63" spans="1:19" s="316" customFormat="1" ht="12.75">
      <c r="A63" s="199"/>
      <c r="B63" s="22"/>
      <c r="C63" s="22"/>
      <c r="D63" s="317"/>
      <c r="E63" s="33"/>
      <c r="F63" s="33"/>
      <c r="G63" s="317"/>
      <c r="H63" s="314"/>
      <c r="I63" s="215"/>
      <c r="K63" s="302"/>
      <c r="L63" s="302"/>
      <c r="M63" s="302"/>
      <c r="O63" s="199"/>
      <c r="P63" s="199"/>
      <c r="Q63" s="199"/>
      <c r="R63" s="199"/>
      <c r="S63" s="199"/>
    </row>
    <row r="64" spans="1:13" ht="12.75">
      <c r="A64" s="7" t="s">
        <v>171</v>
      </c>
      <c r="B64" s="322"/>
      <c r="C64" s="322"/>
      <c r="D64" s="323"/>
      <c r="E64" s="324"/>
      <c r="F64" s="324"/>
      <c r="G64" s="323"/>
      <c r="H64" s="217"/>
      <c r="I64" s="217"/>
      <c r="K64" s="302"/>
      <c r="L64" s="302"/>
      <c r="M64" s="302"/>
    </row>
    <row r="65" spans="1:13" ht="12.75">
      <c r="A65" s="8" t="s">
        <v>172</v>
      </c>
      <c r="B65" s="325">
        <v>0</v>
      </c>
      <c r="C65" s="325">
        <v>0</v>
      </c>
      <c r="D65" s="323"/>
      <c r="E65" s="326">
        <v>0.02</v>
      </c>
      <c r="F65" s="326">
        <v>5</v>
      </c>
      <c r="G65" s="323"/>
      <c r="H65" s="321">
        <v>0.0008</v>
      </c>
      <c r="I65" s="216">
        <v>0.08</v>
      </c>
      <c r="K65" s="302"/>
      <c r="L65" s="302"/>
      <c r="M65" s="302"/>
    </row>
    <row r="66" spans="1:13" ht="12.75">
      <c r="A66" s="8" t="s">
        <v>173</v>
      </c>
      <c r="B66" s="325">
        <v>0</v>
      </c>
      <c r="C66" s="325">
        <v>0</v>
      </c>
      <c r="D66" s="323"/>
      <c r="E66" s="326">
        <v>0.002</v>
      </c>
      <c r="F66" s="327">
        <v>0.5</v>
      </c>
      <c r="G66" s="323"/>
      <c r="H66" s="321">
        <v>0.0003</v>
      </c>
      <c r="I66" s="216">
        <v>0.03</v>
      </c>
      <c r="K66" s="302"/>
      <c r="L66" s="302"/>
      <c r="M66" s="302"/>
    </row>
    <row r="67" spans="1:13" ht="12.75">
      <c r="A67" s="8" t="s">
        <v>174</v>
      </c>
      <c r="B67" s="325">
        <v>0</v>
      </c>
      <c r="C67" s="325">
        <v>0</v>
      </c>
      <c r="D67" s="323"/>
      <c r="E67" s="327">
        <v>0.001</v>
      </c>
      <c r="F67" s="326">
        <v>0.05</v>
      </c>
      <c r="G67" s="323"/>
      <c r="H67" s="321">
        <v>0.002</v>
      </c>
      <c r="I67" s="216">
        <v>0.2</v>
      </c>
      <c r="K67" s="302"/>
      <c r="L67" s="302"/>
      <c r="M67" s="302"/>
    </row>
    <row r="68" spans="1:13" ht="12.75">
      <c r="A68" s="8" t="s">
        <v>175</v>
      </c>
      <c r="B68" s="325">
        <v>0</v>
      </c>
      <c r="C68" s="325">
        <v>0</v>
      </c>
      <c r="D68" s="323"/>
      <c r="E68" s="326">
        <v>0.0002</v>
      </c>
      <c r="F68" s="326">
        <v>0.05</v>
      </c>
      <c r="G68" s="323"/>
      <c r="H68" s="321">
        <v>0.005</v>
      </c>
      <c r="I68" s="216">
        <v>0.5</v>
      </c>
      <c r="K68" s="302"/>
      <c r="L68" s="302"/>
      <c r="M68" s="302"/>
    </row>
    <row r="69" spans="1:13" ht="12.75">
      <c r="A69" s="8" t="s">
        <v>176</v>
      </c>
      <c r="B69" s="325">
        <v>0</v>
      </c>
      <c r="C69" s="325">
        <v>0</v>
      </c>
      <c r="D69" s="323"/>
      <c r="E69" s="326">
        <v>0.001</v>
      </c>
      <c r="F69" s="326">
        <v>0.05</v>
      </c>
      <c r="G69" s="323"/>
      <c r="H69" s="321">
        <v>0.002</v>
      </c>
      <c r="I69" s="216">
        <v>0.2</v>
      </c>
      <c r="K69" s="302"/>
      <c r="L69" s="302"/>
      <c r="M69" s="302"/>
    </row>
    <row r="70" spans="1:13" ht="12.75">
      <c r="A70" s="8" t="s">
        <v>177</v>
      </c>
      <c r="B70" s="325">
        <v>0</v>
      </c>
      <c r="C70" s="325">
        <v>0</v>
      </c>
      <c r="D70" s="323"/>
      <c r="E70" s="326">
        <v>0.002</v>
      </c>
      <c r="F70" s="326">
        <v>0.2</v>
      </c>
      <c r="G70" s="323"/>
      <c r="H70" s="321">
        <v>0.009</v>
      </c>
      <c r="I70" s="216">
        <v>0.9</v>
      </c>
      <c r="K70" s="302"/>
      <c r="L70" s="302"/>
      <c r="M70" s="302"/>
    </row>
    <row r="71" spans="1:13" ht="12.75">
      <c r="A71" s="8" t="s">
        <v>178</v>
      </c>
      <c r="B71" s="325">
        <v>0</v>
      </c>
      <c r="C71" s="325">
        <v>0</v>
      </c>
      <c r="D71" s="323"/>
      <c r="E71" s="326">
        <v>0.02</v>
      </c>
      <c r="F71" s="326">
        <v>5</v>
      </c>
      <c r="G71" s="323"/>
      <c r="H71" s="321">
        <v>0.003</v>
      </c>
      <c r="I71" s="216">
        <v>0.3</v>
      </c>
      <c r="K71" s="302"/>
      <c r="L71" s="302"/>
      <c r="M71" s="302"/>
    </row>
    <row r="72" spans="1:13" ht="12.75">
      <c r="A72" s="8" t="s">
        <v>179</v>
      </c>
      <c r="B72" s="325">
        <v>0</v>
      </c>
      <c r="C72" s="325">
        <v>0</v>
      </c>
      <c r="D72" s="323"/>
      <c r="E72" s="326">
        <v>0.005</v>
      </c>
      <c r="F72" s="326">
        <v>1</v>
      </c>
      <c r="G72" s="323"/>
      <c r="H72" s="321">
        <v>0.005</v>
      </c>
      <c r="I72" s="216">
        <v>0.5</v>
      </c>
      <c r="K72" s="302"/>
      <c r="L72" s="302"/>
      <c r="M72" s="302"/>
    </row>
    <row r="73" spans="1:13" ht="12.75">
      <c r="A73" s="8" t="s">
        <v>180</v>
      </c>
      <c r="B73" s="325">
        <v>0</v>
      </c>
      <c r="C73" s="325">
        <v>0</v>
      </c>
      <c r="D73" s="323"/>
      <c r="E73" s="326">
        <v>0.0004</v>
      </c>
      <c r="F73" s="326">
        <v>0.05</v>
      </c>
      <c r="G73" s="323"/>
      <c r="H73" s="321">
        <v>0.004</v>
      </c>
      <c r="I73" s="216">
        <v>0.4</v>
      </c>
      <c r="K73" s="302"/>
      <c r="L73" s="302"/>
      <c r="M73" s="302"/>
    </row>
    <row r="74" spans="1:13" ht="12.75">
      <c r="A74" s="8" t="s">
        <v>181</v>
      </c>
      <c r="B74" s="325">
        <v>0</v>
      </c>
      <c r="C74" s="325">
        <v>0</v>
      </c>
      <c r="D74" s="323"/>
      <c r="E74" s="326">
        <v>0.1</v>
      </c>
      <c r="F74" s="326">
        <v>70</v>
      </c>
      <c r="G74" s="323"/>
      <c r="H74" s="321">
        <v>0.01</v>
      </c>
      <c r="I74" s="216">
        <v>1.2</v>
      </c>
      <c r="K74" s="302"/>
      <c r="L74" s="302"/>
      <c r="M74" s="302"/>
    </row>
    <row r="75" spans="1:13" ht="12.75">
      <c r="A75" s="114" t="s">
        <v>182</v>
      </c>
      <c r="B75" s="325">
        <v>1</v>
      </c>
      <c r="C75" s="325">
        <v>40</v>
      </c>
      <c r="D75" s="323"/>
      <c r="E75" s="328" t="s">
        <v>124</v>
      </c>
      <c r="F75" s="328" t="s">
        <v>124</v>
      </c>
      <c r="G75" s="329"/>
      <c r="H75" s="216">
        <v>0</v>
      </c>
      <c r="I75" s="216" t="s">
        <v>124</v>
      </c>
      <c r="K75" s="302"/>
      <c r="L75" s="302"/>
      <c r="M75" s="302"/>
    </row>
    <row r="76" spans="1:13" ht="12.75">
      <c r="A76" s="9"/>
      <c r="B76" s="26"/>
      <c r="C76" s="26"/>
      <c r="D76" s="299"/>
      <c r="E76" s="31"/>
      <c r="F76" s="31"/>
      <c r="G76" s="299"/>
      <c r="H76" s="301"/>
      <c r="I76" s="213"/>
      <c r="K76" s="302"/>
      <c r="L76" s="302"/>
      <c r="M76" s="302"/>
    </row>
    <row r="77" spans="1:13" ht="12.75">
      <c r="A77" s="6" t="s">
        <v>183</v>
      </c>
      <c r="B77" s="26"/>
      <c r="C77" s="26"/>
      <c r="D77" s="299"/>
      <c r="E77" s="31"/>
      <c r="F77" s="31"/>
      <c r="G77" s="299"/>
      <c r="H77" s="301"/>
      <c r="I77" s="213"/>
      <c r="K77" s="302"/>
      <c r="L77" s="302"/>
      <c r="M77" s="302"/>
    </row>
    <row r="78" spans="1:13" ht="12.75">
      <c r="A78" s="9" t="s">
        <v>184</v>
      </c>
      <c r="B78" s="27">
        <v>0</v>
      </c>
      <c r="C78" s="27">
        <v>30</v>
      </c>
      <c r="D78" s="299"/>
      <c r="E78" s="33" t="s">
        <v>124</v>
      </c>
      <c r="F78" s="33" t="s">
        <v>124</v>
      </c>
      <c r="G78" s="299"/>
      <c r="H78" s="215">
        <v>0</v>
      </c>
      <c r="I78" s="215" t="s">
        <v>124</v>
      </c>
      <c r="K78" s="302"/>
      <c r="L78" s="302"/>
      <c r="M78" s="302"/>
    </row>
    <row r="79" spans="1:13" ht="12.75">
      <c r="A79" s="9" t="s">
        <v>185</v>
      </c>
      <c r="B79" s="27">
        <v>0</v>
      </c>
      <c r="C79" s="27">
        <v>10</v>
      </c>
      <c r="D79" s="299"/>
      <c r="E79" s="33" t="s">
        <v>124</v>
      </c>
      <c r="F79" s="33" t="s">
        <v>124</v>
      </c>
      <c r="G79" s="299"/>
      <c r="H79" s="215">
        <v>0</v>
      </c>
      <c r="I79" s="215" t="s">
        <v>124</v>
      </c>
      <c r="K79" s="302"/>
      <c r="L79" s="302"/>
      <c r="M79" s="302"/>
    </row>
    <row r="80" spans="1:13" ht="12.75">
      <c r="A80" s="9" t="s">
        <v>186</v>
      </c>
      <c r="B80" s="27">
        <v>0</v>
      </c>
      <c r="C80" s="27">
        <v>10</v>
      </c>
      <c r="D80" s="299"/>
      <c r="E80" s="33">
        <v>0</v>
      </c>
      <c r="F80" s="35">
        <v>6</v>
      </c>
      <c r="G80" s="299"/>
      <c r="H80" s="215">
        <v>0</v>
      </c>
      <c r="I80" s="215" t="s">
        <v>124</v>
      </c>
      <c r="K80" s="302"/>
      <c r="L80" s="302"/>
      <c r="M80" s="302"/>
    </row>
    <row r="81" spans="1:13" ht="12.75">
      <c r="A81" s="9" t="s">
        <v>187</v>
      </c>
      <c r="B81" s="27">
        <v>0.01</v>
      </c>
      <c r="C81" s="27" t="s">
        <v>124</v>
      </c>
      <c r="D81" s="299"/>
      <c r="E81" s="33">
        <v>0.01</v>
      </c>
      <c r="F81" s="35">
        <v>50</v>
      </c>
      <c r="G81" s="299"/>
      <c r="H81" s="215">
        <v>0</v>
      </c>
      <c r="I81" s="215" t="s">
        <v>124</v>
      </c>
      <c r="K81" s="302"/>
      <c r="L81" s="302"/>
      <c r="M81" s="302"/>
    </row>
    <row r="82" spans="1:13" ht="12.75">
      <c r="A82" s="9" t="s">
        <v>188</v>
      </c>
      <c r="B82" s="27">
        <v>0</v>
      </c>
      <c r="C82" s="27">
        <v>15</v>
      </c>
      <c r="D82" s="299"/>
      <c r="E82" s="33">
        <v>0</v>
      </c>
      <c r="F82" s="35">
        <v>900</v>
      </c>
      <c r="G82" s="299"/>
      <c r="H82" s="215">
        <v>0</v>
      </c>
      <c r="I82" s="215" t="s">
        <v>124</v>
      </c>
      <c r="K82" s="302"/>
      <c r="L82" s="302"/>
      <c r="M82" s="302"/>
    </row>
    <row r="83" spans="1:13" ht="12.75">
      <c r="A83" s="9" t="s">
        <v>189</v>
      </c>
      <c r="B83" s="27">
        <v>0</v>
      </c>
      <c r="C83" s="27">
        <v>4</v>
      </c>
      <c r="D83" s="299"/>
      <c r="E83" s="32">
        <v>0.01</v>
      </c>
      <c r="F83" s="36">
        <v>400</v>
      </c>
      <c r="G83" s="299"/>
      <c r="H83" s="314">
        <v>0</v>
      </c>
      <c r="I83" s="215" t="s">
        <v>124</v>
      </c>
      <c r="K83" s="302"/>
      <c r="L83" s="302"/>
      <c r="M83" s="302"/>
    </row>
    <row r="84" spans="1:13" ht="12.75">
      <c r="A84" s="9" t="s">
        <v>190</v>
      </c>
      <c r="B84" s="27">
        <v>0</v>
      </c>
      <c r="C84" s="27">
        <v>1</v>
      </c>
      <c r="D84" s="299"/>
      <c r="E84" s="32">
        <v>0</v>
      </c>
      <c r="F84" s="36">
        <v>20</v>
      </c>
      <c r="G84" s="299"/>
      <c r="H84" s="314">
        <v>0</v>
      </c>
      <c r="I84" s="215" t="s">
        <v>124</v>
      </c>
      <c r="K84" s="302"/>
      <c r="L84" s="302"/>
      <c r="M84" s="302"/>
    </row>
    <row r="85" spans="1:13" ht="12.75">
      <c r="A85" s="9" t="s">
        <v>191</v>
      </c>
      <c r="B85" s="27">
        <v>0</v>
      </c>
      <c r="C85" s="27">
        <v>10</v>
      </c>
      <c r="D85" s="299"/>
      <c r="E85" s="32">
        <v>0.01</v>
      </c>
      <c r="F85" s="36">
        <v>1000</v>
      </c>
      <c r="G85" s="299"/>
      <c r="H85" s="215">
        <v>0</v>
      </c>
      <c r="I85" s="215" t="s">
        <v>124</v>
      </c>
      <c r="K85" s="302"/>
      <c r="L85" s="302"/>
      <c r="M85" s="302"/>
    </row>
    <row r="86" spans="1:13" ht="12.75">
      <c r="A86" s="9" t="s">
        <v>192</v>
      </c>
      <c r="B86" s="27">
        <v>0.003</v>
      </c>
      <c r="C86" s="27" t="s">
        <v>124</v>
      </c>
      <c r="D86" s="299"/>
      <c r="E86" s="32">
        <v>0.08</v>
      </c>
      <c r="F86" s="36">
        <v>30</v>
      </c>
      <c r="G86" s="299"/>
      <c r="H86" s="215">
        <v>0.08</v>
      </c>
      <c r="I86" s="215">
        <v>0.08</v>
      </c>
      <c r="K86" s="302"/>
      <c r="L86" s="302"/>
      <c r="M86" s="302"/>
    </row>
    <row r="87" spans="1:13" ht="12.75">
      <c r="A87" s="9" t="s">
        <v>193</v>
      </c>
      <c r="B87" s="27">
        <v>0</v>
      </c>
      <c r="C87" s="27">
        <v>0</v>
      </c>
      <c r="D87" s="299"/>
      <c r="E87" s="32">
        <v>0</v>
      </c>
      <c r="F87" s="36">
        <v>0</v>
      </c>
      <c r="G87" s="299"/>
      <c r="H87" s="215">
        <v>0</v>
      </c>
      <c r="I87" s="215" t="s">
        <v>124</v>
      </c>
      <c r="K87" s="302"/>
      <c r="L87" s="302"/>
      <c r="M87" s="302"/>
    </row>
    <row r="88" spans="1:13" ht="12.75">
      <c r="A88" s="9" t="s">
        <v>194</v>
      </c>
      <c r="B88" s="27">
        <v>0.0025</v>
      </c>
      <c r="C88" s="27" t="s">
        <v>124</v>
      </c>
      <c r="D88" s="299"/>
      <c r="E88" s="32">
        <v>0.01</v>
      </c>
      <c r="F88" s="36">
        <v>0.5</v>
      </c>
      <c r="G88" s="299"/>
      <c r="H88" s="218">
        <v>9E-05</v>
      </c>
      <c r="I88" s="215">
        <v>0.009</v>
      </c>
      <c r="K88" s="302"/>
      <c r="L88" s="302"/>
      <c r="M88" s="302"/>
    </row>
    <row r="89" spans="1:13" ht="12.75">
      <c r="A89" s="9" t="s">
        <v>195</v>
      </c>
      <c r="B89" s="27">
        <v>0</v>
      </c>
      <c r="C89" s="27" t="s">
        <v>124</v>
      </c>
      <c r="D89" s="299"/>
      <c r="E89" s="32">
        <v>0.01</v>
      </c>
      <c r="F89" s="36">
        <v>180</v>
      </c>
      <c r="G89" s="299"/>
      <c r="H89" s="215">
        <v>0</v>
      </c>
      <c r="I89" s="215" t="s">
        <v>124</v>
      </c>
      <c r="K89" s="302"/>
      <c r="L89" s="302"/>
      <c r="M89" s="302"/>
    </row>
    <row r="90" spans="1:13" ht="12.75">
      <c r="A90" s="9" t="s">
        <v>196</v>
      </c>
      <c r="B90" s="27">
        <v>0.0025</v>
      </c>
      <c r="C90" s="27" t="s">
        <v>124</v>
      </c>
      <c r="D90" s="299"/>
      <c r="E90" s="32">
        <v>0.25</v>
      </c>
      <c r="F90" s="36">
        <v>100</v>
      </c>
      <c r="G90" s="299"/>
      <c r="H90" s="215">
        <v>0.25</v>
      </c>
      <c r="I90" s="215">
        <v>9</v>
      </c>
      <c r="K90" s="302"/>
      <c r="L90" s="302"/>
      <c r="M90" s="302"/>
    </row>
    <row r="91" spans="1:13" ht="12.75">
      <c r="A91" s="9" t="s">
        <v>197</v>
      </c>
      <c r="B91" s="27">
        <v>0</v>
      </c>
      <c r="C91" s="27">
        <v>50</v>
      </c>
      <c r="D91" s="299"/>
      <c r="E91" s="32" t="s">
        <v>124</v>
      </c>
      <c r="F91" s="32" t="s">
        <v>124</v>
      </c>
      <c r="G91" s="299"/>
      <c r="H91" s="215">
        <v>0</v>
      </c>
      <c r="I91" s="215">
        <v>5</v>
      </c>
      <c r="K91" s="302"/>
      <c r="L91" s="302"/>
      <c r="M91" s="302"/>
    </row>
    <row r="92" spans="1:13" ht="12.75">
      <c r="A92" s="9" t="s">
        <v>198</v>
      </c>
      <c r="B92" s="27">
        <v>0.0025</v>
      </c>
      <c r="C92" s="27" t="s">
        <v>124</v>
      </c>
      <c r="D92" s="299"/>
      <c r="E92" s="32">
        <v>0.01</v>
      </c>
      <c r="F92" s="32">
        <v>1</v>
      </c>
      <c r="G92" s="299"/>
      <c r="H92" s="215">
        <v>0.003</v>
      </c>
      <c r="I92" s="215">
        <v>0.3</v>
      </c>
      <c r="K92" s="302"/>
      <c r="L92" s="302"/>
      <c r="M92" s="302"/>
    </row>
    <row r="93" spans="1:13" ht="12.75">
      <c r="A93" s="9" t="s">
        <v>199</v>
      </c>
      <c r="B93" s="27">
        <v>0.02</v>
      </c>
      <c r="C93" s="27">
        <v>1</v>
      </c>
      <c r="D93" s="299"/>
      <c r="E93" s="33">
        <v>0.01</v>
      </c>
      <c r="F93" s="35">
        <v>0.01</v>
      </c>
      <c r="G93" s="299"/>
      <c r="H93" s="215">
        <v>0</v>
      </c>
      <c r="I93" s="215" t="s">
        <v>124</v>
      </c>
      <c r="K93" s="302"/>
      <c r="L93" s="302"/>
      <c r="M93" s="302"/>
    </row>
    <row r="94" spans="1:13" ht="12.75">
      <c r="A94" s="9" t="s">
        <v>200</v>
      </c>
      <c r="B94" s="27">
        <v>0.01</v>
      </c>
      <c r="C94" s="27" t="s">
        <v>124</v>
      </c>
      <c r="D94" s="299"/>
      <c r="E94" s="33">
        <v>0.01</v>
      </c>
      <c r="F94" s="35">
        <v>2.5</v>
      </c>
      <c r="G94" s="299"/>
      <c r="H94" s="215">
        <v>0</v>
      </c>
      <c r="I94" s="215" t="s">
        <v>124</v>
      </c>
      <c r="K94" s="302"/>
      <c r="L94" s="302"/>
      <c r="M94" s="302"/>
    </row>
    <row r="95" spans="1:19" ht="12.75">
      <c r="A95" s="9" t="s">
        <v>201</v>
      </c>
      <c r="B95" s="27">
        <v>0.01</v>
      </c>
      <c r="C95" s="27">
        <v>4</v>
      </c>
      <c r="D95" s="299"/>
      <c r="E95" s="32">
        <v>0.01</v>
      </c>
      <c r="F95" s="36">
        <v>40</v>
      </c>
      <c r="G95" s="299"/>
      <c r="H95" s="215">
        <v>0</v>
      </c>
      <c r="I95" s="215" t="s">
        <v>124</v>
      </c>
      <c r="K95" s="302"/>
      <c r="L95" s="302"/>
      <c r="M95" s="302"/>
      <c r="O95" s="316"/>
      <c r="P95" s="316"/>
      <c r="Q95" s="316"/>
      <c r="R95" s="316"/>
      <c r="S95" s="316"/>
    </row>
    <row r="96" spans="1:19" ht="12.75">
      <c r="A96" s="9" t="s">
        <v>202</v>
      </c>
      <c r="B96" s="27">
        <v>0.001</v>
      </c>
      <c r="C96" s="27" t="s">
        <v>124</v>
      </c>
      <c r="D96" s="299"/>
      <c r="E96" s="32">
        <v>0.01</v>
      </c>
      <c r="F96" s="36">
        <v>10</v>
      </c>
      <c r="G96" s="299"/>
      <c r="H96" s="215">
        <v>0.01</v>
      </c>
      <c r="I96" s="215">
        <v>1</v>
      </c>
      <c r="K96" s="302"/>
      <c r="L96" s="302"/>
      <c r="M96" s="302"/>
      <c r="O96" s="316"/>
      <c r="P96" s="316"/>
      <c r="Q96" s="316"/>
      <c r="R96" s="316"/>
      <c r="S96" s="316"/>
    </row>
    <row r="97" spans="1:19" ht="12.75">
      <c r="A97" s="9" t="s">
        <v>203</v>
      </c>
      <c r="B97" s="27">
        <v>0.001</v>
      </c>
      <c r="C97" s="27">
        <v>1</v>
      </c>
      <c r="D97" s="299"/>
      <c r="E97" s="32">
        <v>0.01</v>
      </c>
      <c r="F97" s="36">
        <v>10</v>
      </c>
      <c r="G97" s="299"/>
      <c r="H97" s="215">
        <v>0</v>
      </c>
      <c r="I97" s="215" t="s">
        <v>124</v>
      </c>
      <c r="K97" s="302"/>
      <c r="L97" s="302"/>
      <c r="M97" s="302"/>
      <c r="O97" s="316"/>
      <c r="P97" s="316"/>
      <c r="Q97" s="316"/>
      <c r="R97" s="316"/>
      <c r="S97" s="316"/>
    </row>
    <row r="98" spans="1:19" ht="12.75">
      <c r="A98" s="9" t="s">
        <v>204</v>
      </c>
      <c r="B98" s="27">
        <v>0.01</v>
      </c>
      <c r="C98" s="27" t="s">
        <v>124</v>
      </c>
      <c r="D98" s="299"/>
      <c r="E98" s="32">
        <v>0.01</v>
      </c>
      <c r="F98" s="36">
        <v>10</v>
      </c>
      <c r="G98" s="299"/>
      <c r="H98" s="215">
        <v>0</v>
      </c>
      <c r="I98" s="215" t="s">
        <v>124</v>
      </c>
      <c r="K98" s="302"/>
      <c r="L98" s="302"/>
      <c r="M98" s="302"/>
      <c r="O98" s="316"/>
      <c r="P98" s="316"/>
      <c r="Q98" s="316"/>
      <c r="R98" s="316"/>
      <c r="S98" s="316"/>
    </row>
    <row r="99" spans="1:19" ht="12.75">
      <c r="A99" s="9" t="s">
        <v>205</v>
      </c>
      <c r="B99" s="27">
        <v>0.001</v>
      </c>
      <c r="C99" s="27">
        <v>60</v>
      </c>
      <c r="D99" s="299"/>
      <c r="E99" s="32">
        <v>0.01</v>
      </c>
      <c r="F99" s="36">
        <v>500</v>
      </c>
      <c r="G99" s="299"/>
      <c r="H99" s="215">
        <v>0</v>
      </c>
      <c r="I99" s="215" t="s">
        <v>124</v>
      </c>
      <c r="K99" s="302"/>
      <c r="L99" s="302"/>
      <c r="M99" s="302"/>
      <c r="O99" s="316"/>
      <c r="P99" s="316"/>
      <c r="Q99" s="316"/>
      <c r="R99" s="316"/>
      <c r="S99" s="316"/>
    </row>
    <row r="100" spans="1:19" ht="12.75">
      <c r="A100" s="9" t="s">
        <v>206</v>
      </c>
      <c r="B100" s="27">
        <v>0.001</v>
      </c>
      <c r="C100" s="27" t="s">
        <v>124</v>
      </c>
      <c r="D100" s="299"/>
      <c r="E100" s="32">
        <v>0.025</v>
      </c>
      <c r="F100" s="36">
        <v>10</v>
      </c>
      <c r="G100" s="299"/>
      <c r="H100" s="215">
        <v>0.025</v>
      </c>
      <c r="I100" s="215">
        <v>2.5</v>
      </c>
      <c r="K100" s="302"/>
      <c r="L100" s="302"/>
      <c r="M100" s="302"/>
      <c r="O100" s="316"/>
      <c r="P100" s="316"/>
      <c r="Q100" s="316"/>
      <c r="R100" s="316"/>
      <c r="S100" s="316"/>
    </row>
    <row r="101" spans="1:19" ht="12.75">
      <c r="A101" s="9" t="s">
        <v>207</v>
      </c>
      <c r="B101" s="27">
        <v>0.001</v>
      </c>
      <c r="C101" s="27">
        <v>10</v>
      </c>
      <c r="D101" s="299"/>
      <c r="E101" s="32">
        <v>0.01</v>
      </c>
      <c r="F101" s="36">
        <v>400</v>
      </c>
      <c r="G101" s="299"/>
      <c r="H101" s="215">
        <v>0</v>
      </c>
      <c r="I101" s="215" t="s">
        <v>124</v>
      </c>
      <c r="K101" s="302"/>
      <c r="L101" s="302"/>
      <c r="M101" s="302"/>
      <c r="O101" s="316"/>
      <c r="P101" s="316"/>
      <c r="Q101" s="316"/>
      <c r="R101" s="316"/>
      <c r="S101" s="316"/>
    </row>
    <row r="102" spans="1:19" ht="12.75">
      <c r="A102" s="9" t="s">
        <v>208</v>
      </c>
      <c r="B102" s="27">
        <v>0</v>
      </c>
      <c r="C102" s="27">
        <v>15</v>
      </c>
      <c r="D102" s="299"/>
      <c r="E102" s="32">
        <v>0</v>
      </c>
      <c r="F102" s="36">
        <v>300</v>
      </c>
      <c r="G102" s="299"/>
      <c r="H102" s="215">
        <v>0</v>
      </c>
      <c r="I102" s="215" t="s">
        <v>124</v>
      </c>
      <c r="K102" s="302"/>
      <c r="L102" s="302"/>
      <c r="M102" s="302"/>
      <c r="O102" s="316"/>
      <c r="P102" s="316"/>
      <c r="Q102" s="316"/>
      <c r="R102" s="316"/>
      <c r="S102" s="316"/>
    </row>
    <row r="103" spans="1:19" ht="12.75">
      <c r="A103" s="9" t="s">
        <v>209</v>
      </c>
      <c r="B103" s="27">
        <v>0</v>
      </c>
      <c r="C103" s="27">
        <v>50</v>
      </c>
      <c r="D103" s="299"/>
      <c r="E103" s="32">
        <v>0</v>
      </c>
      <c r="F103" s="36">
        <v>1500</v>
      </c>
      <c r="G103" s="299"/>
      <c r="H103" s="215">
        <v>0</v>
      </c>
      <c r="I103" s="215" t="s">
        <v>124</v>
      </c>
      <c r="K103" s="302"/>
      <c r="L103" s="302"/>
      <c r="M103" s="302"/>
      <c r="O103" s="316"/>
      <c r="P103" s="316"/>
      <c r="Q103" s="316"/>
      <c r="R103" s="316"/>
      <c r="S103" s="316"/>
    </row>
    <row r="104" spans="1:13" ht="12.75">
      <c r="A104" s="9" t="s">
        <v>210</v>
      </c>
      <c r="B104" s="27">
        <v>0</v>
      </c>
      <c r="C104" s="27">
        <v>0.1</v>
      </c>
      <c r="D104" s="299"/>
      <c r="E104" s="32">
        <v>0</v>
      </c>
      <c r="F104" s="36">
        <v>5</v>
      </c>
      <c r="G104" s="299"/>
      <c r="H104" s="215">
        <v>0</v>
      </c>
      <c r="I104" s="215" t="s">
        <v>124</v>
      </c>
      <c r="K104" s="302"/>
      <c r="L104" s="302"/>
      <c r="M104" s="302"/>
    </row>
    <row r="105" spans="1:13" ht="12.75">
      <c r="A105" s="10"/>
      <c r="B105" s="28"/>
      <c r="C105" s="28"/>
      <c r="D105" s="12"/>
      <c r="E105" s="34"/>
      <c r="F105" s="34"/>
      <c r="G105" s="299"/>
      <c r="H105" s="219"/>
      <c r="I105" s="220"/>
      <c r="K105" s="302"/>
      <c r="L105" s="302"/>
      <c r="M105" s="302"/>
    </row>
    <row r="106" spans="1:19" s="316" customFormat="1" ht="12.75">
      <c r="A106" s="6" t="s">
        <v>211</v>
      </c>
      <c r="B106" s="29"/>
      <c r="C106" s="29"/>
      <c r="D106" s="24"/>
      <c r="E106" s="35"/>
      <c r="F106" s="35"/>
      <c r="G106" s="330"/>
      <c r="H106" s="215"/>
      <c r="I106" s="220"/>
      <c r="K106" s="302"/>
      <c r="L106" s="302"/>
      <c r="M106" s="302"/>
      <c r="O106" s="199"/>
      <c r="P106" s="199"/>
      <c r="Q106" s="199"/>
      <c r="R106" s="199"/>
      <c r="S106" s="199"/>
    </row>
    <row r="107" spans="1:19" s="316" customFormat="1" ht="12.75">
      <c r="A107" s="5" t="s">
        <v>212</v>
      </c>
      <c r="B107" s="29">
        <v>0.0025</v>
      </c>
      <c r="C107" s="22" t="s">
        <v>124</v>
      </c>
      <c r="D107" s="24"/>
      <c r="E107" s="35">
        <v>0</v>
      </c>
      <c r="F107" s="33">
        <v>0</v>
      </c>
      <c r="G107" s="330"/>
      <c r="H107" s="218">
        <v>1E-05</v>
      </c>
      <c r="I107" s="215">
        <v>0.001</v>
      </c>
      <c r="K107" s="302"/>
      <c r="L107" s="302"/>
      <c r="M107" s="302"/>
      <c r="O107" s="199"/>
      <c r="P107" s="199"/>
      <c r="Q107" s="199"/>
      <c r="R107" s="199"/>
      <c r="S107" s="199"/>
    </row>
    <row r="108" spans="1:19" s="316" customFormat="1" ht="12.75">
      <c r="A108" s="23" t="s">
        <v>213</v>
      </c>
      <c r="B108" s="29">
        <f>0.05/1000</f>
        <v>5E-05</v>
      </c>
      <c r="C108" s="29">
        <v>6</v>
      </c>
      <c r="D108" s="24"/>
      <c r="E108" s="35">
        <v>0.0075</v>
      </c>
      <c r="F108" s="35">
        <v>150</v>
      </c>
      <c r="G108" s="330"/>
      <c r="H108" s="215">
        <v>0.0029</v>
      </c>
      <c r="I108" s="220">
        <v>2.9</v>
      </c>
      <c r="K108" s="302"/>
      <c r="L108" s="302"/>
      <c r="M108" s="302"/>
      <c r="O108" s="199"/>
      <c r="P108" s="199"/>
      <c r="Q108" s="199"/>
      <c r="R108" s="199"/>
      <c r="S108" s="199"/>
    </row>
    <row r="109" spans="1:19" s="316" customFormat="1" ht="12.75">
      <c r="A109" s="23" t="s">
        <v>214</v>
      </c>
      <c r="B109" s="29">
        <v>0</v>
      </c>
      <c r="C109" s="29">
        <v>0</v>
      </c>
      <c r="D109" s="24"/>
      <c r="E109" s="35">
        <v>0</v>
      </c>
      <c r="F109" s="35">
        <v>0</v>
      </c>
      <c r="G109" s="330"/>
      <c r="H109" s="215">
        <v>0.0001</v>
      </c>
      <c r="I109" s="215">
        <v>0.0012</v>
      </c>
      <c r="K109" s="302"/>
      <c r="L109" s="302"/>
      <c r="M109" s="302"/>
      <c r="O109" s="199"/>
      <c r="P109" s="199"/>
      <c r="Q109" s="199"/>
      <c r="R109" s="199"/>
      <c r="S109" s="199"/>
    </row>
    <row r="110" spans="1:19" s="316" customFormat="1" ht="12.75">
      <c r="A110" s="23" t="s">
        <v>215</v>
      </c>
      <c r="B110" s="29">
        <v>0</v>
      </c>
      <c r="C110" s="29">
        <v>5</v>
      </c>
      <c r="D110" s="24"/>
      <c r="E110" s="35">
        <v>0.01</v>
      </c>
      <c r="F110" s="35">
        <v>50</v>
      </c>
      <c r="G110" s="330"/>
      <c r="H110" s="215">
        <v>0.002</v>
      </c>
      <c r="I110" s="215">
        <v>0.23</v>
      </c>
      <c r="K110" s="302"/>
      <c r="L110" s="302"/>
      <c r="M110" s="302"/>
      <c r="O110" s="199"/>
      <c r="P110" s="199"/>
      <c r="Q110" s="199"/>
      <c r="R110" s="199"/>
      <c r="S110" s="199"/>
    </row>
    <row r="111" spans="1:19" s="316" customFormat="1" ht="12.75">
      <c r="A111" s="23" t="s">
        <v>216</v>
      </c>
      <c r="B111" s="29">
        <v>0</v>
      </c>
      <c r="C111" s="29">
        <v>2</v>
      </c>
      <c r="D111" s="24"/>
      <c r="E111" s="35">
        <v>0.01</v>
      </c>
      <c r="F111" s="35">
        <v>100</v>
      </c>
      <c r="G111" s="330"/>
      <c r="H111" s="215">
        <v>0.009</v>
      </c>
      <c r="I111" s="215">
        <v>0.91</v>
      </c>
      <c r="K111" s="302"/>
      <c r="L111" s="302"/>
      <c r="M111" s="302"/>
      <c r="O111" s="199"/>
      <c r="P111" s="199"/>
      <c r="Q111" s="199"/>
      <c r="R111" s="199"/>
      <c r="S111" s="199"/>
    </row>
    <row r="112" spans="1:19" s="316" customFormat="1" ht="12.75">
      <c r="A112" s="23" t="s">
        <v>217</v>
      </c>
      <c r="B112" s="29">
        <v>0</v>
      </c>
      <c r="C112" s="29">
        <v>4</v>
      </c>
      <c r="D112" s="24"/>
      <c r="E112" s="35">
        <v>0</v>
      </c>
      <c r="F112" s="35">
        <v>0.2</v>
      </c>
      <c r="G112" s="330"/>
      <c r="H112" s="218">
        <v>2E-05</v>
      </c>
      <c r="I112" s="215">
        <v>0.002</v>
      </c>
      <c r="K112" s="302"/>
      <c r="L112" s="302"/>
      <c r="M112" s="302"/>
      <c r="O112" s="199"/>
      <c r="P112" s="199"/>
      <c r="Q112" s="199"/>
      <c r="R112" s="199"/>
      <c r="S112" s="199"/>
    </row>
    <row r="113" spans="1:19" s="316" customFormat="1" ht="12.75">
      <c r="A113" s="9" t="s">
        <v>218</v>
      </c>
      <c r="B113" s="27">
        <v>0.0025</v>
      </c>
      <c r="C113" s="27">
        <v>4</v>
      </c>
      <c r="D113" s="299"/>
      <c r="E113" s="33">
        <v>0</v>
      </c>
      <c r="F113" s="35">
        <v>0.01</v>
      </c>
      <c r="G113" s="299"/>
      <c r="H113" s="218">
        <v>5E-06</v>
      </c>
      <c r="I113" s="215">
        <v>0.0005</v>
      </c>
      <c r="J113" s="199"/>
      <c r="K113" s="302"/>
      <c r="L113" s="302"/>
      <c r="M113" s="302"/>
      <c r="O113" s="199"/>
      <c r="P113" s="199"/>
      <c r="Q113" s="199"/>
      <c r="R113" s="199"/>
      <c r="S113" s="199"/>
    </row>
    <row r="114" spans="1:19" s="316" customFormat="1" ht="12.75">
      <c r="A114" s="9" t="s">
        <v>219</v>
      </c>
      <c r="B114" s="27">
        <v>0.0005</v>
      </c>
      <c r="C114" s="27" t="s">
        <v>124</v>
      </c>
      <c r="D114" s="299"/>
      <c r="E114" s="33">
        <v>2E-05</v>
      </c>
      <c r="F114" s="33">
        <v>0</v>
      </c>
      <c r="G114" s="299"/>
      <c r="H114" s="218">
        <v>0.0004</v>
      </c>
      <c r="I114" s="215">
        <v>0.039</v>
      </c>
      <c r="J114" s="199"/>
      <c r="K114" s="302"/>
      <c r="L114" s="302"/>
      <c r="M114" s="302"/>
      <c r="O114" s="199"/>
      <c r="P114" s="199"/>
      <c r="Q114" s="199"/>
      <c r="R114" s="199"/>
      <c r="S114" s="199"/>
    </row>
    <row r="115" spans="1:13" ht="12.75">
      <c r="A115" s="9" t="s">
        <v>220</v>
      </c>
      <c r="B115" s="29">
        <v>0</v>
      </c>
      <c r="C115" s="27">
        <v>4</v>
      </c>
      <c r="D115" s="299"/>
      <c r="E115" s="33">
        <v>0</v>
      </c>
      <c r="F115" s="35">
        <v>0.1</v>
      </c>
      <c r="G115" s="299"/>
      <c r="H115" s="215">
        <v>0</v>
      </c>
      <c r="I115" s="215" t="s">
        <v>124</v>
      </c>
      <c r="K115" s="302"/>
      <c r="L115" s="302"/>
      <c r="M115" s="302"/>
    </row>
    <row r="116" spans="1:13" ht="12.75">
      <c r="A116" s="9" t="s">
        <v>221</v>
      </c>
      <c r="B116" s="29">
        <v>0</v>
      </c>
      <c r="C116" s="27">
        <v>4</v>
      </c>
      <c r="D116" s="299"/>
      <c r="E116" s="33">
        <v>0</v>
      </c>
      <c r="F116" s="35">
        <v>5</v>
      </c>
      <c r="G116" s="299"/>
      <c r="H116" s="215">
        <v>0.0002</v>
      </c>
      <c r="I116" s="215">
        <v>0.02</v>
      </c>
      <c r="K116" s="302"/>
      <c r="L116" s="302"/>
      <c r="M116" s="302"/>
    </row>
    <row r="117" spans="1:13" ht="12.75">
      <c r="A117" s="9" t="s">
        <v>222</v>
      </c>
      <c r="B117" s="29">
        <v>0.001</v>
      </c>
      <c r="C117" s="27" t="s">
        <v>124</v>
      </c>
      <c r="D117" s="299"/>
      <c r="E117" s="33">
        <v>0</v>
      </c>
      <c r="F117" s="33">
        <v>0</v>
      </c>
      <c r="G117" s="299"/>
      <c r="H117" s="218">
        <v>4E-05</v>
      </c>
      <c r="I117" s="215">
        <v>0.004</v>
      </c>
      <c r="K117" s="302"/>
      <c r="L117" s="302"/>
      <c r="M117" s="302"/>
    </row>
    <row r="118" spans="1:13" ht="12.75">
      <c r="A118" s="9" t="s">
        <v>223</v>
      </c>
      <c r="B118" s="29">
        <v>0</v>
      </c>
      <c r="C118" s="27">
        <v>2</v>
      </c>
      <c r="D118" s="299"/>
      <c r="E118" s="33">
        <v>0</v>
      </c>
      <c r="F118" s="35">
        <v>1</v>
      </c>
      <c r="G118" s="299"/>
      <c r="H118" s="215">
        <v>0.01</v>
      </c>
      <c r="I118" s="215">
        <v>0.9</v>
      </c>
      <c r="K118" s="302"/>
      <c r="L118" s="302"/>
      <c r="M118" s="302"/>
    </row>
    <row r="119" spans="1:13" ht="12.75">
      <c r="A119" s="9" t="s">
        <v>224</v>
      </c>
      <c r="B119" s="29">
        <v>0.0025</v>
      </c>
      <c r="C119" s="27" t="s">
        <v>124</v>
      </c>
      <c r="D119" s="299"/>
      <c r="E119" s="33">
        <v>0</v>
      </c>
      <c r="F119" s="33" t="s">
        <v>124</v>
      </c>
      <c r="G119" s="299"/>
      <c r="H119" s="215">
        <v>0.033</v>
      </c>
      <c r="I119" s="215">
        <v>3.3</v>
      </c>
      <c r="K119" s="302"/>
      <c r="L119" s="302"/>
      <c r="M119" s="302"/>
    </row>
    <row r="120" spans="1:13" ht="12.75">
      <c r="A120" s="9" t="s">
        <v>225</v>
      </c>
      <c r="B120" s="29">
        <v>0.001</v>
      </c>
      <c r="C120" s="27" t="s">
        <v>124</v>
      </c>
      <c r="D120" s="299"/>
      <c r="E120" s="33">
        <v>0</v>
      </c>
      <c r="F120" s="33" t="s">
        <v>124</v>
      </c>
      <c r="G120" s="299"/>
      <c r="H120" s="215">
        <v>0.009</v>
      </c>
      <c r="I120" s="215">
        <v>0.86</v>
      </c>
      <c r="K120" s="302"/>
      <c r="L120" s="302"/>
      <c r="M120" s="302"/>
    </row>
    <row r="121" spans="1:13" ht="12.75">
      <c r="A121" s="9" t="s">
        <v>226</v>
      </c>
      <c r="B121" s="29">
        <v>5E-05</v>
      </c>
      <c r="C121" s="27" t="s">
        <v>124</v>
      </c>
      <c r="D121" s="299"/>
      <c r="E121" s="33">
        <v>0.0002</v>
      </c>
      <c r="F121" s="33" t="s">
        <v>124</v>
      </c>
      <c r="G121" s="299"/>
      <c r="H121" s="215">
        <v>0.009</v>
      </c>
      <c r="I121" s="215">
        <v>0.92</v>
      </c>
      <c r="K121" s="302"/>
      <c r="L121" s="302"/>
      <c r="M121" s="302"/>
    </row>
    <row r="122" spans="1:13" ht="12.75">
      <c r="A122" s="9" t="s">
        <v>227</v>
      </c>
      <c r="B122" s="29">
        <v>0</v>
      </c>
      <c r="C122" s="27">
        <v>4</v>
      </c>
      <c r="D122" s="299"/>
      <c r="E122" s="33">
        <v>0</v>
      </c>
      <c r="F122" s="33">
        <v>0.3</v>
      </c>
      <c r="G122" s="299"/>
      <c r="H122" s="218">
        <v>5E-06</v>
      </c>
      <c r="I122" s="215">
        <v>0.0005</v>
      </c>
      <c r="K122" s="302"/>
      <c r="L122" s="302"/>
      <c r="M122" s="302"/>
    </row>
    <row r="123" spans="1:13" ht="12.75">
      <c r="A123" s="9" t="s">
        <v>228</v>
      </c>
      <c r="B123" s="29">
        <v>0</v>
      </c>
      <c r="C123" s="27">
        <v>4</v>
      </c>
      <c r="D123" s="299"/>
      <c r="E123" s="33">
        <v>0</v>
      </c>
      <c r="F123" s="33">
        <v>3</v>
      </c>
      <c r="G123" s="299"/>
      <c r="H123" s="218">
        <v>5E-06</v>
      </c>
      <c r="I123" s="215">
        <v>0.0005</v>
      </c>
      <c r="K123" s="302"/>
      <c r="L123" s="302"/>
      <c r="M123" s="302"/>
    </row>
    <row r="124" spans="1:13" ht="12.75">
      <c r="A124" s="23" t="s">
        <v>229</v>
      </c>
      <c r="B124" s="29">
        <v>0</v>
      </c>
      <c r="C124" s="29">
        <v>35</v>
      </c>
      <c r="D124" s="24"/>
      <c r="E124" s="35">
        <v>0</v>
      </c>
      <c r="F124" s="35">
        <v>0.1</v>
      </c>
      <c r="G124" s="330"/>
      <c r="H124" s="215">
        <v>0</v>
      </c>
      <c r="I124" s="220" t="s">
        <v>124</v>
      </c>
      <c r="J124" s="316"/>
      <c r="K124" s="302"/>
      <c r="L124" s="302"/>
      <c r="M124" s="302"/>
    </row>
    <row r="125" spans="1:13" ht="12.75">
      <c r="A125" s="23" t="s">
        <v>230</v>
      </c>
      <c r="B125" s="29">
        <v>0</v>
      </c>
      <c r="C125" s="29">
        <v>2.5</v>
      </c>
      <c r="D125" s="24"/>
      <c r="E125" s="35">
        <v>0</v>
      </c>
      <c r="F125" s="35">
        <v>0.7</v>
      </c>
      <c r="G125" s="330"/>
      <c r="H125" s="215">
        <v>0.0001</v>
      </c>
      <c r="I125" s="215">
        <v>0.014</v>
      </c>
      <c r="J125" s="316"/>
      <c r="K125" s="302"/>
      <c r="L125" s="302"/>
      <c r="M125" s="302"/>
    </row>
    <row r="126" spans="1:13" ht="12.75">
      <c r="A126" s="23" t="s">
        <v>231</v>
      </c>
      <c r="B126" s="29">
        <v>0</v>
      </c>
      <c r="C126" s="29">
        <v>5</v>
      </c>
      <c r="D126" s="24"/>
      <c r="E126" s="33">
        <v>0</v>
      </c>
      <c r="F126" s="33">
        <v>0</v>
      </c>
      <c r="G126" s="331"/>
      <c r="H126" s="215">
        <v>0</v>
      </c>
      <c r="I126" s="215" t="s">
        <v>124</v>
      </c>
      <c r="J126" s="316"/>
      <c r="K126" s="302"/>
      <c r="L126" s="302"/>
      <c r="M126" s="302"/>
    </row>
    <row r="127" spans="1:13" ht="12.75">
      <c r="A127" s="23" t="s">
        <v>232</v>
      </c>
      <c r="B127" s="29">
        <v>0</v>
      </c>
      <c r="C127" s="29">
        <v>10</v>
      </c>
      <c r="D127" s="24"/>
      <c r="E127" s="33">
        <v>0</v>
      </c>
      <c r="F127" s="33">
        <v>0</v>
      </c>
      <c r="G127" s="331"/>
      <c r="H127" s="215">
        <v>0</v>
      </c>
      <c r="I127" s="215" t="s">
        <v>124</v>
      </c>
      <c r="J127" s="316"/>
      <c r="K127" s="302"/>
      <c r="L127" s="302"/>
      <c r="M127" s="302"/>
    </row>
    <row r="128" spans="1:13" ht="12.75">
      <c r="A128" s="9" t="s">
        <v>233</v>
      </c>
      <c r="B128" s="27">
        <v>0.002</v>
      </c>
      <c r="C128" s="27">
        <v>5</v>
      </c>
      <c r="D128" s="299"/>
      <c r="E128" s="33">
        <v>0.02</v>
      </c>
      <c r="F128" s="35">
        <v>3</v>
      </c>
      <c r="G128" s="299"/>
      <c r="H128" s="215">
        <v>0.04</v>
      </c>
      <c r="I128" s="215">
        <v>4</v>
      </c>
      <c r="K128" s="302"/>
      <c r="L128" s="302"/>
      <c r="M128" s="302"/>
    </row>
    <row r="129" spans="2:9" ht="12.75">
      <c r="B129" s="199"/>
      <c r="C129" s="199"/>
      <c r="E129" s="199"/>
      <c r="F129" s="199"/>
      <c r="H129" s="332"/>
      <c r="I129" s="332"/>
    </row>
    <row r="130" spans="2:9" ht="12.75">
      <c r="B130" s="199"/>
      <c r="C130" s="199"/>
      <c r="E130" s="199"/>
      <c r="F130" s="199"/>
      <c r="H130" s="332"/>
      <c r="I130" s="332"/>
    </row>
    <row r="131" spans="1:9" ht="12.75">
      <c r="A131" s="199" t="s">
        <v>387</v>
      </c>
      <c r="B131" s="4"/>
      <c r="C131" s="4"/>
      <c r="D131" s="299"/>
      <c r="E131" s="4"/>
      <c r="F131" s="4"/>
      <c r="G131" s="299"/>
      <c r="H131" s="333"/>
      <c r="I131" s="221"/>
    </row>
    <row r="132" ht="12.75">
      <c r="A132" s="199" t="s">
        <v>383</v>
      </c>
    </row>
    <row r="133" ht="12.75">
      <c r="A133" s="199" t="s">
        <v>384</v>
      </c>
    </row>
    <row r="134" ht="12.75">
      <c r="A134" s="199" t="s">
        <v>385</v>
      </c>
    </row>
    <row r="135" spans="1:15" ht="12.75">
      <c r="A135" s="199" t="s">
        <v>386</v>
      </c>
      <c r="O135" s="199" t="s">
        <v>54</v>
      </c>
    </row>
    <row r="136" ht="12.75">
      <c r="A136" s="199" t="s">
        <v>54</v>
      </c>
    </row>
    <row r="150" ht="12.75">
      <c r="O150" s="199" t="s">
        <v>54</v>
      </c>
    </row>
  </sheetData>
  <sheetProtection sheet="1" objects="1" scenarios="1"/>
  <printOptions/>
  <pageMargins left="0.75" right="0.75" top="1" bottom="1" header="0.5" footer="0.5"/>
  <pageSetup horizontalDpi="300" verticalDpi="300" orientation="portrait" paperSize="9" r:id="rId3"/>
  <headerFooter alignWithMargins="0">
    <oddHeader>&amp;C&amp;A</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codeName="Sheet11"/>
  <dimension ref="A1:AA78"/>
  <sheetViews>
    <sheetView showGridLines="0" workbookViewId="0" topLeftCell="A1">
      <selection activeCell="B3" sqref="B3"/>
    </sheetView>
  </sheetViews>
  <sheetFormatPr defaultColWidth="9.140625" defaultRowHeight="12.75"/>
  <cols>
    <col min="1" max="1" width="8.8515625" style="20" customWidth="1"/>
    <col min="2" max="2" width="7.7109375" style="20" customWidth="1"/>
    <col min="3" max="3" width="3.28125" style="20" customWidth="1"/>
    <col min="4" max="11" width="8.8515625" style="20" customWidth="1"/>
    <col min="12" max="12" width="4.28125" style="20" customWidth="1"/>
    <col min="13" max="13" width="8.8515625" style="20" customWidth="1"/>
    <col min="14" max="14" width="7.140625" style="20" customWidth="1"/>
    <col min="15" max="15" width="6.8515625" style="20" customWidth="1"/>
    <col min="16" max="16" width="6.00390625" style="20" customWidth="1"/>
    <col min="17" max="17" width="10.00390625" style="20" customWidth="1"/>
    <col min="18" max="18" width="8.8515625" style="20" customWidth="1"/>
    <col min="19" max="19" width="9.8515625" style="20" customWidth="1"/>
    <col min="20" max="21" width="8.8515625" style="20" customWidth="1"/>
    <col min="22" max="22" width="7.421875" style="20" customWidth="1"/>
    <col min="23" max="23" width="10.00390625" style="20" customWidth="1"/>
    <col min="24" max="24" width="7.140625" style="20" customWidth="1"/>
    <col min="25" max="25" width="6.7109375" style="20" customWidth="1"/>
    <col min="26" max="26" width="10.421875" style="20" customWidth="1"/>
    <col min="27" max="27" width="8.8515625" style="20" customWidth="1"/>
    <col min="28" max="28" width="9.57421875" style="20" customWidth="1"/>
    <col min="29" max="16384" width="8.8515625" style="20" customWidth="1"/>
  </cols>
  <sheetData>
    <row r="1" ht="18">
      <c r="A1" s="111" t="s">
        <v>248</v>
      </c>
    </row>
    <row r="2" ht="12.75">
      <c r="A2" s="112" t="str">
        <f>Stat!A3</f>
        <v>Terug naar inhoud:</v>
      </c>
    </row>
    <row r="3" spans="1:4" ht="12.75">
      <c r="A3" s="20" t="s">
        <v>249</v>
      </c>
      <c r="B3" s="1"/>
      <c r="C3" s="113" t="s">
        <v>250</v>
      </c>
      <c r="D3" s="20" t="s">
        <v>251</v>
      </c>
    </row>
    <row r="4" spans="2:4" ht="12.75">
      <c r="B4" s="68"/>
      <c r="C4" s="113" t="s">
        <v>250</v>
      </c>
      <c r="D4" s="20" t="s">
        <v>252</v>
      </c>
    </row>
    <row r="5" spans="2:4" ht="12.75">
      <c r="B5" s="59">
        <v>123</v>
      </c>
      <c r="C5" s="113" t="s">
        <v>250</v>
      </c>
      <c r="D5" s="20" t="s">
        <v>253</v>
      </c>
    </row>
    <row r="6" ht="12.75"/>
    <row r="7" spans="1:2" ht="12.75">
      <c r="A7" s="20" t="s">
        <v>254</v>
      </c>
      <c r="B7" s="20" t="s">
        <v>255</v>
      </c>
    </row>
    <row r="8" ht="12.75">
      <c r="B8" s="20" t="s">
        <v>256</v>
      </c>
    </row>
    <row r="9" ht="12.75">
      <c r="B9" s="20" t="s">
        <v>257</v>
      </c>
    </row>
    <row r="10" ht="12.75">
      <c r="B10" s="20" t="s">
        <v>258</v>
      </c>
    </row>
    <row r="11" spans="1:2" ht="12.75">
      <c r="A11" s="20" t="s">
        <v>259</v>
      </c>
      <c r="B11" s="20" t="s">
        <v>412</v>
      </c>
    </row>
    <row r="12" ht="12.75">
      <c r="B12" s="20" t="s">
        <v>260</v>
      </c>
    </row>
    <row r="13" ht="12.75"/>
    <row r="14" ht="12.75"/>
    <row r="15" ht="12.75">
      <c r="A15" s="45" t="s">
        <v>261</v>
      </c>
    </row>
    <row r="16" ht="12.75"/>
    <row r="17" ht="12.75">
      <c r="A17" s="20" t="s">
        <v>320</v>
      </c>
    </row>
    <row r="18" ht="12.75"/>
    <row r="19" ht="12.75"/>
    <row r="20" ht="12.75"/>
    <row r="21" ht="12.75"/>
    <row r="22" ht="12.75">
      <c r="A22" s="20" t="s">
        <v>321</v>
      </c>
    </row>
    <row r="23" ht="12.75"/>
    <row r="24" ht="12.75"/>
    <row r="25" ht="12.75"/>
    <row r="26" ht="12.75">
      <c r="A26" s="20" t="s">
        <v>322</v>
      </c>
    </row>
    <row r="27" ht="12.75"/>
    <row r="28" ht="12.75"/>
    <row r="29" spans="1:21" ht="12.75">
      <c r="A29" s="20" t="s">
        <v>323</v>
      </c>
      <c r="U29" s="107"/>
    </row>
    <row r="30" ht="12.75"/>
    <row r="31" ht="12.75"/>
    <row r="32" ht="12.75">
      <c r="A32" s="20" t="s">
        <v>400</v>
      </c>
    </row>
    <row r="33" ht="12.75">
      <c r="A33" s="20" t="s">
        <v>262</v>
      </c>
    </row>
    <row r="34" ht="12.75"/>
    <row r="35" ht="12.75"/>
    <row r="36" ht="12.75">
      <c r="A36" s="20" t="s">
        <v>401</v>
      </c>
    </row>
    <row r="37" ht="12.75">
      <c r="A37" s="20" t="s">
        <v>263</v>
      </c>
    </row>
    <row r="38" ht="12.75"/>
    <row r="39" ht="12.75">
      <c r="A39" s="20" t="s">
        <v>406</v>
      </c>
    </row>
    <row r="40" spans="23:24" ht="12.75">
      <c r="W40" s="120" t="s">
        <v>271</v>
      </c>
      <c r="X40" s="120"/>
    </row>
    <row r="41" spans="23:24" ht="29.25" customHeight="1">
      <c r="W41" s="155" t="s">
        <v>311</v>
      </c>
      <c r="X41" s="126" t="s">
        <v>266</v>
      </c>
    </row>
    <row r="42" spans="22:24" ht="12.75">
      <c r="V42" s="62" t="s">
        <v>270</v>
      </c>
      <c r="W42" s="121">
        <f>30*50</f>
        <v>1500</v>
      </c>
      <c r="X42" s="121">
        <f>8*50</f>
        <v>400</v>
      </c>
    </row>
    <row r="43" spans="1:24" ht="12.75">
      <c r="A43" s="20" t="s">
        <v>317</v>
      </c>
      <c r="V43" s="62" t="s">
        <v>313</v>
      </c>
      <c r="W43" s="157">
        <f>W42/30</f>
        <v>50</v>
      </c>
      <c r="X43" s="157">
        <f>X42/30</f>
        <v>13.333333333333334</v>
      </c>
    </row>
    <row r="44" spans="13:24" ht="12.75">
      <c r="M44" s="122"/>
      <c r="N44" s="117"/>
      <c r="O44" s="117"/>
      <c r="P44" s="117"/>
      <c r="Q44" s="119" t="s">
        <v>410</v>
      </c>
      <c r="R44" s="119"/>
      <c r="S44" s="158"/>
      <c r="V44" s="62" t="s">
        <v>312</v>
      </c>
      <c r="W44" s="68"/>
      <c r="X44" s="157">
        <f>W43-X43</f>
        <v>36.666666666666664</v>
      </c>
    </row>
    <row r="45" spans="13:19" ht="30" customHeight="1">
      <c r="M45" s="152" t="s">
        <v>265</v>
      </c>
      <c r="N45" s="153" t="s">
        <v>408</v>
      </c>
      <c r="O45" s="153" t="s">
        <v>407</v>
      </c>
      <c r="P45" s="153" t="s">
        <v>409</v>
      </c>
      <c r="Q45" s="154" t="s">
        <v>311</v>
      </c>
      <c r="R45" s="154" t="s">
        <v>266</v>
      </c>
      <c r="S45" s="159"/>
    </row>
    <row r="46" spans="13:24" ht="12.75">
      <c r="M46" s="122">
        <v>0</v>
      </c>
      <c r="N46" s="118">
        <v>10</v>
      </c>
      <c r="O46" s="118">
        <v>5</v>
      </c>
      <c r="P46" s="117">
        <v>10</v>
      </c>
      <c r="Q46" s="1">
        <v>50</v>
      </c>
      <c r="R46" s="156">
        <f>IF(N46-O46&gt;0,(N46-O46)*P46,0)</f>
        <v>50</v>
      </c>
      <c r="S46" s="160"/>
      <c r="W46" s="160"/>
      <c r="X46" s="160"/>
    </row>
    <row r="47" spans="13:24" ht="12.75">
      <c r="M47" s="122">
        <f>M46+1</f>
        <v>1</v>
      </c>
      <c r="N47" s="118">
        <v>9.8</v>
      </c>
      <c r="O47" s="118">
        <v>5</v>
      </c>
      <c r="P47" s="117">
        <v>10.5</v>
      </c>
      <c r="Q47" s="1">
        <v>50</v>
      </c>
      <c r="R47" s="156">
        <f aca="true" t="shared" si="0" ref="R47:R53">IF(N47-O47&gt;0,(N47-O47)*P47,0)</f>
        <v>50.400000000000006</v>
      </c>
      <c r="S47" s="160"/>
      <c r="W47" s="160"/>
      <c r="X47" s="160"/>
    </row>
    <row r="48" spans="13:24" ht="12.75">
      <c r="M48" s="122">
        <f aca="true" t="shared" si="1" ref="M48:M75">M47+1</f>
        <v>2</v>
      </c>
      <c r="N48" s="118">
        <f aca="true" t="shared" si="2" ref="N48:N59">N47-M49*0.05</f>
        <v>9.65</v>
      </c>
      <c r="O48" s="118">
        <v>5</v>
      </c>
      <c r="P48" s="117">
        <v>10.5</v>
      </c>
      <c r="Q48" s="1">
        <v>50</v>
      </c>
      <c r="R48" s="156">
        <f t="shared" si="0"/>
        <v>48.825</v>
      </c>
      <c r="S48" s="160"/>
      <c r="W48" s="160"/>
      <c r="X48" s="160"/>
    </row>
    <row r="49" spans="13:24" ht="12.75">
      <c r="M49" s="122">
        <f t="shared" si="1"/>
        <v>3</v>
      </c>
      <c r="N49" s="118">
        <f t="shared" si="2"/>
        <v>9.450000000000001</v>
      </c>
      <c r="O49" s="118">
        <v>5</v>
      </c>
      <c r="P49" s="117">
        <v>10.5</v>
      </c>
      <c r="Q49" s="1">
        <v>50</v>
      </c>
      <c r="R49" s="156">
        <f t="shared" si="0"/>
        <v>46.72500000000001</v>
      </c>
      <c r="S49" s="160"/>
      <c r="W49" s="160"/>
      <c r="X49" s="160"/>
    </row>
    <row r="50" spans="13:24" ht="12.75">
      <c r="M50" s="122">
        <f t="shared" si="1"/>
        <v>4</v>
      </c>
      <c r="N50" s="118">
        <f t="shared" si="2"/>
        <v>9.200000000000001</v>
      </c>
      <c r="O50" s="118">
        <v>5</v>
      </c>
      <c r="P50" s="117">
        <v>10</v>
      </c>
      <c r="Q50" s="1">
        <v>50</v>
      </c>
      <c r="R50" s="156">
        <f t="shared" si="0"/>
        <v>42.000000000000014</v>
      </c>
      <c r="S50" s="160"/>
      <c r="V50" s="62"/>
      <c r="W50" s="161"/>
      <c r="X50" s="161"/>
    </row>
    <row r="51" spans="13:24" ht="12.75">
      <c r="M51" s="122">
        <f t="shared" si="1"/>
        <v>5</v>
      </c>
      <c r="N51" s="118">
        <f t="shared" si="2"/>
        <v>8.9</v>
      </c>
      <c r="O51" s="118">
        <v>5</v>
      </c>
      <c r="P51" s="117">
        <v>9.5</v>
      </c>
      <c r="Q51" s="1">
        <v>50</v>
      </c>
      <c r="R51" s="156">
        <f t="shared" si="0"/>
        <v>37.050000000000004</v>
      </c>
      <c r="S51" s="160"/>
      <c r="W51" s="116"/>
      <c r="X51" s="116"/>
    </row>
    <row r="52" spans="13:27" ht="12.75">
      <c r="M52" s="122">
        <f t="shared" si="1"/>
        <v>6</v>
      </c>
      <c r="N52" s="118">
        <f t="shared" si="2"/>
        <v>8.55</v>
      </c>
      <c r="O52" s="118">
        <v>5</v>
      </c>
      <c r="P52" s="117">
        <v>9.5</v>
      </c>
      <c r="Q52" s="1">
        <v>50</v>
      </c>
      <c r="R52" s="156">
        <f t="shared" si="0"/>
        <v>33.72500000000001</v>
      </c>
      <c r="S52" s="160"/>
      <c r="V52" s="122"/>
      <c r="W52" s="117"/>
      <c r="X52" s="117"/>
      <c r="Y52" s="117"/>
      <c r="Z52" s="119" t="s">
        <v>267</v>
      </c>
      <c r="AA52" s="119"/>
    </row>
    <row r="53" spans="13:27" ht="12.75">
      <c r="M53" s="122">
        <f t="shared" si="1"/>
        <v>7</v>
      </c>
      <c r="N53" s="118">
        <f t="shared" si="2"/>
        <v>8.15</v>
      </c>
      <c r="O53" s="118">
        <v>5</v>
      </c>
      <c r="P53" s="117">
        <v>9.5</v>
      </c>
      <c r="Q53" s="1">
        <v>50</v>
      </c>
      <c r="R53" s="156">
        <f t="shared" si="0"/>
        <v>29.925000000000004</v>
      </c>
      <c r="V53" s="123" t="s">
        <v>265</v>
      </c>
      <c r="W53" s="124" t="s">
        <v>269</v>
      </c>
      <c r="X53" s="124" t="s">
        <v>27</v>
      </c>
      <c r="Y53" s="124" t="s">
        <v>268</v>
      </c>
      <c r="Z53" s="125" t="s">
        <v>264</v>
      </c>
      <c r="AA53" s="125" t="s">
        <v>266</v>
      </c>
    </row>
    <row r="54" spans="13:27" ht="12.75">
      <c r="M54" s="122">
        <f t="shared" si="1"/>
        <v>8</v>
      </c>
      <c r="N54" s="118">
        <f t="shared" si="2"/>
        <v>7.7</v>
      </c>
      <c r="O54" s="118">
        <v>5</v>
      </c>
      <c r="P54" s="117">
        <v>9.5</v>
      </c>
      <c r="Q54" s="1">
        <v>50</v>
      </c>
      <c r="R54" s="156">
        <f aca="true" t="shared" si="3" ref="R54:R75">IF(N54-O54&gt;0,(N54-O54)*P54,0)</f>
        <v>25.650000000000002</v>
      </c>
      <c r="V54" s="122">
        <v>0</v>
      </c>
      <c r="W54" s="118">
        <v>10</v>
      </c>
      <c r="X54" s="118">
        <v>5</v>
      </c>
      <c r="Y54" s="117">
        <v>10</v>
      </c>
      <c r="Z54" s="1">
        <v>50</v>
      </c>
      <c r="AA54" s="1">
        <f>IF(W54-X54&gt;0,(W54-X54)*Y54,0)</f>
        <v>50</v>
      </c>
    </row>
    <row r="55" spans="13:27" ht="12.75">
      <c r="M55" s="122">
        <f t="shared" si="1"/>
        <v>9</v>
      </c>
      <c r="N55" s="118">
        <f t="shared" si="2"/>
        <v>7.2</v>
      </c>
      <c r="O55" s="118">
        <v>5</v>
      </c>
      <c r="P55" s="117">
        <v>9.5</v>
      </c>
      <c r="Q55" s="1">
        <v>50</v>
      </c>
      <c r="R55" s="156">
        <f t="shared" si="3"/>
        <v>20.900000000000002</v>
      </c>
      <c r="V55" s="122">
        <v>5</v>
      </c>
      <c r="W55" s="118">
        <v>10</v>
      </c>
      <c r="X55" s="118">
        <v>5</v>
      </c>
      <c r="Y55" s="117">
        <v>10</v>
      </c>
      <c r="Z55" s="1">
        <v>50</v>
      </c>
      <c r="AA55" s="1">
        <f aca="true" t="shared" si="4" ref="AA55:AA61">IF(W55-X55&gt;0,(W55-X55)*Y55,0)</f>
        <v>50</v>
      </c>
    </row>
    <row r="56" spans="13:27" ht="12.75">
      <c r="M56" s="122">
        <f t="shared" si="1"/>
        <v>10</v>
      </c>
      <c r="N56" s="118">
        <f t="shared" si="2"/>
        <v>6.65</v>
      </c>
      <c r="O56" s="118">
        <v>5</v>
      </c>
      <c r="P56" s="117">
        <v>9.5</v>
      </c>
      <c r="Q56" s="1">
        <v>50</v>
      </c>
      <c r="R56" s="156">
        <f t="shared" si="3"/>
        <v>15.675000000000004</v>
      </c>
      <c r="V56" s="122">
        <v>8</v>
      </c>
      <c r="W56" s="118">
        <v>10</v>
      </c>
      <c r="X56" s="118">
        <v>5</v>
      </c>
      <c r="Y56" s="117">
        <v>10</v>
      </c>
      <c r="Z56" s="1">
        <v>50</v>
      </c>
      <c r="AA56" s="1">
        <f t="shared" si="4"/>
        <v>50</v>
      </c>
    </row>
    <row r="57" spans="13:27" ht="12.75">
      <c r="M57" s="122">
        <f t="shared" si="1"/>
        <v>11</v>
      </c>
      <c r="N57" s="118">
        <f t="shared" si="2"/>
        <v>6.050000000000001</v>
      </c>
      <c r="O57" s="118">
        <v>5</v>
      </c>
      <c r="P57" s="117">
        <v>9.5</v>
      </c>
      <c r="Q57" s="1">
        <v>50</v>
      </c>
      <c r="R57" s="156">
        <f t="shared" si="3"/>
        <v>9.975000000000007</v>
      </c>
      <c r="V57" s="122">
        <v>8.01</v>
      </c>
      <c r="W57" s="118">
        <v>5</v>
      </c>
      <c r="X57" s="118">
        <v>5</v>
      </c>
      <c r="Y57" s="117">
        <v>10</v>
      </c>
      <c r="Z57" s="1">
        <v>50</v>
      </c>
      <c r="AA57" s="1">
        <f t="shared" si="4"/>
        <v>0</v>
      </c>
    </row>
    <row r="58" spans="13:27" ht="12.75">
      <c r="M58" s="122">
        <f t="shared" si="1"/>
        <v>12</v>
      </c>
      <c r="N58" s="118">
        <f t="shared" si="2"/>
        <v>5.4</v>
      </c>
      <c r="O58" s="118">
        <v>5</v>
      </c>
      <c r="P58" s="117">
        <v>9.5</v>
      </c>
      <c r="Q58" s="1">
        <v>50</v>
      </c>
      <c r="R58" s="156">
        <f t="shared" si="3"/>
        <v>3.8000000000000034</v>
      </c>
      <c r="V58" s="122">
        <v>15</v>
      </c>
      <c r="W58" s="118">
        <v>5</v>
      </c>
      <c r="X58" s="118">
        <v>5</v>
      </c>
      <c r="Y58" s="117">
        <v>10</v>
      </c>
      <c r="Z58" s="1">
        <v>50</v>
      </c>
      <c r="AA58" s="1">
        <f t="shared" si="4"/>
        <v>0</v>
      </c>
    </row>
    <row r="59" spans="13:27" ht="12.75">
      <c r="M59" s="122">
        <f t="shared" si="1"/>
        <v>13</v>
      </c>
      <c r="N59" s="118">
        <f t="shared" si="2"/>
        <v>4.7</v>
      </c>
      <c r="O59" s="118">
        <v>5</v>
      </c>
      <c r="P59" s="117">
        <v>9.5</v>
      </c>
      <c r="Q59" s="1">
        <v>50</v>
      </c>
      <c r="R59" s="156">
        <f t="shared" si="3"/>
        <v>0</v>
      </c>
      <c r="V59" s="122">
        <v>20</v>
      </c>
      <c r="W59" s="118">
        <v>5</v>
      </c>
      <c r="X59" s="118">
        <v>5</v>
      </c>
      <c r="Y59" s="117">
        <v>10</v>
      </c>
      <c r="Z59" s="1">
        <v>50</v>
      </c>
      <c r="AA59" s="1">
        <f t="shared" si="4"/>
        <v>0</v>
      </c>
    </row>
    <row r="60" spans="13:27" ht="12.75">
      <c r="M60" s="122">
        <f t="shared" si="1"/>
        <v>14</v>
      </c>
      <c r="N60" s="118">
        <f>N59</f>
        <v>4.7</v>
      </c>
      <c r="O60" s="118">
        <v>5</v>
      </c>
      <c r="P60" s="117">
        <v>9.5</v>
      </c>
      <c r="Q60" s="1">
        <v>50</v>
      </c>
      <c r="R60" s="156">
        <f t="shared" si="3"/>
        <v>0</v>
      </c>
      <c r="V60" s="122">
        <v>25</v>
      </c>
      <c r="W60" s="118">
        <v>5</v>
      </c>
      <c r="X60" s="118">
        <v>5</v>
      </c>
      <c r="Y60" s="117">
        <v>10</v>
      </c>
      <c r="Z60" s="1">
        <v>50</v>
      </c>
      <c r="AA60" s="1">
        <f t="shared" si="4"/>
        <v>0</v>
      </c>
    </row>
    <row r="61" spans="13:27" ht="12.75">
      <c r="M61" s="122">
        <f t="shared" si="1"/>
        <v>15</v>
      </c>
      <c r="N61" s="118">
        <f aca="true" t="shared" si="5" ref="N61:N75">N60</f>
        <v>4.7</v>
      </c>
      <c r="O61" s="118">
        <v>5</v>
      </c>
      <c r="P61" s="117">
        <v>9.5</v>
      </c>
      <c r="Q61" s="1">
        <v>50</v>
      </c>
      <c r="R61" s="156">
        <f t="shared" si="3"/>
        <v>0</v>
      </c>
      <c r="V61" s="122">
        <v>30</v>
      </c>
      <c r="W61" s="118">
        <v>5</v>
      </c>
      <c r="X61" s="118">
        <v>5</v>
      </c>
      <c r="Y61" s="117">
        <v>10</v>
      </c>
      <c r="Z61" s="1">
        <v>50</v>
      </c>
      <c r="AA61" s="1">
        <f t="shared" si="4"/>
        <v>0</v>
      </c>
    </row>
    <row r="62" spans="13:18" ht="12.75">
      <c r="M62" s="122">
        <f t="shared" si="1"/>
        <v>16</v>
      </c>
      <c r="N62" s="118">
        <f t="shared" si="5"/>
        <v>4.7</v>
      </c>
      <c r="O62" s="118">
        <v>5</v>
      </c>
      <c r="P62" s="117">
        <v>9.5</v>
      </c>
      <c r="Q62" s="1">
        <v>50</v>
      </c>
      <c r="R62" s="156">
        <f t="shared" si="3"/>
        <v>0</v>
      </c>
    </row>
    <row r="63" spans="13:18" ht="12.75">
      <c r="M63" s="122">
        <f t="shared" si="1"/>
        <v>17</v>
      </c>
      <c r="N63" s="118">
        <f t="shared" si="5"/>
        <v>4.7</v>
      </c>
      <c r="O63" s="118">
        <v>5</v>
      </c>
      <c r="P63" s="117">
        <v>9.5</v>
      </c>
      <c r="Q63" s="1">
        <v>50</v>
      </c>
      <c r="R63" s="156">
        <f t="shared" si="3"/>
        <v>0</v>
      </c>
    </row>
    <row r="64" spans="13:18" ht="12.75">
      <c r="M64" s="122">
        <f>M63+1</f>
        <v>18</v>
      </c>
      <c r="N64" s="118">
        <f t="shared" si="5"/>
        <v>4.7</v>
      </c>
      <c r="O64" s="118">
        <v>5</v>
      </c>
      <c r="P64" s="117">
        <v>9.5</v>
      </c>
      <c r="Q64" s="1">
        <v>50</v>
      </c>
      <c r="R64" s="156">
        <f t="shared" si="3"/>
        <v>0</v>
      </c>
    </row>
    <row r="65" spans="13:18" ht="12.75">
      <c r="M65" s="122">
        <f t="shared" si="1"/>
        <v>19</v>
      </c>
      <c r="N65" s="118">
        <f t="shared" si="5"/>
        <v>4.7</v>
      </c>
      <c r="O65" s="118">
        <v>5</v>
      </c>
      <c r="P65" s="117">
        <v>9.5</v>
      </c>
      <c r="Q65" s="1">
        <v>50</v>
      </c>
      <c r="R65" s="156">
        <f t="shared" si="3"/>
        <v>0</v>
      </c>
    </row>
    <row r="66" spans="13:18" ht="12.75">
      <c r="M66" s="122">
        <f t="shared" si="1"/>
        <v>20</v>
      </c>
      <c r="N66" s="118">
        <f t="shared" si="5"/>
        <v>4.7</v>
      </c>
      <c r="O66" s="118">
        <v>5</v>
      </c>
      <c r="P66" s="117">
        <v>9.5</v>
      </c>
      <c r="Q66" s="1">
        <v>50</v>
      </c>
      <c r="R66" s="156">
        <f t="shared" si="3"/>
        <v>0</v>
      </c>
    </row>
    <row r="67" spans="13:18" ht="12.75">
      <c r="M67" s="122">
        <f t="shared" si="1"/>
        <v>21</v>
      </c>
      <c r="N67" s="118">
        <f t="shared" si="5"/>
        <v>4.7</v>
      </c>
      <c r="O67" s="118">
        <v>5</v>
      </c>
      <c r="P67" s="117">
        <v>9.5</v>
      </c>
      <c r="Q67" s="1">
        <v>50</v>
      </c>
      <c r="R67" s="156">
        <f t="shared" si="3"/>
        <v>0</v>
      </c>
    </row>
    <row r="68" spans="13:18" ht="12.75">
      <c r="M68" s="122">
        <f t="shared" si="1"/>
        <v>22</v>
      </c>
      <c r="N68" s="118">
        <f t="shared" si="5"/>
        <v>4.7</v>
      </c>
      <c r="O68" s="118">
        <v>5</v>
      </c>
      <c r="P68" s="117">
        <v>9.5</v>
      </c>
      <c r="Q68" s="1">
        <v>50</v>
      </c>
      <c r="R68" s="156">
        <f t="shared" si="3"/>
        <v>0</v>
      </c>
    </row>
    <row r="69" spans="13:18" ht="12.75">
      <c r="M69" s="122">
        <f t="shared" si="1"/>
        <v>23</v>
      </c>
      <c r="N69" s="118">
        <f t="shared" si="5"/>
        <v>4.7</v>
      </c>
      <c r="O69" s="118">
        <v>5</v>
      </c>
      <c r="P69" s="117">
        <v>9.5</v>
      </c>
      <c r="Q69" s="1">
        <v>50</v>
      </c>
      <c r="R69" s="156">
        <f t="shared" si="3"/>
        <v>0</v>
      </c>
    </row>
    <row r="70" spans="13:18" ht="12.75">
      <c r="M70" s="122">
        <f t="shared" si="1"/>
        <v>24</v>
      </c>
      <c r="N70" s="118">
        <f t="shared" si="5"/>
        <v>4.7</v>
      </c>
      <c r="O70" s="118">
        <v>5</v>
      </c>
      <c r="P70" s="117">
        <v>9.5</v>
      </c>
      <c r="Q70" s="1">
        <v>50</v>
      </c>
      <c r="R70" s="156">
        <f t="shared" si="3"/>
        <v>0</v>
      </c>
    </row>
    <row r="71" spans="13:18" ht="12.75">
      <c r="M71" s="122">
        <f>M70+1</f>
        <v>25</v>
      </c>
      <c r="N71" s="118">
        <f t="shared" si="5"/>
        <v>4.7</v>
      </c>
      <c r="O71" s="118">
        <v>5</v>
      </c>
      <c r="P71" s="117">
        <v>9.5</v>
      </c>
      <c r="Q71" s="1">
        <v>50</v>
      </c>
      <c r="R71" s="156">
        <f t="shared" si="3"/>
        <v>0</v>
      </c>
    </row>
    <row r="72" spans="13:18" ht="12.75">
      <c r="M72" s="122">
        <f t="shared" si="1"/>
        <v>26</v>
      </c>
      <c r="N72" s="118">
        <f t="shared" si="5"/>
        <v>4.7</v>
      </c>
      <c r="O72" s="118">
        <v>5</v>
      </c>
      <c r="P72" s="117">
        <v>9.5</v>
      </c>
      <c r="Q72" s="1">
        <v>50</v>
      </c>
      <c r="R72" s="156">
        <f t="shared" si="3"/>
        <v>0</v>
      </c>
    </row>
    <row r="73" spans="13:18" ht="12.75">
      <c r="M73" s="122">
        <f t="shared" si="1"/>
        <v>27</v>
      </c>
      <c r="N73" s="118">
        <f t="shared" si="5"/>
        <v>4.7</v>
      </c>
      <c r="O73" s="118">
        <v>5</v>
      </c>
      <c r="P73" s="117">
        <v>9.5</v>
      </c>
      <c r="Q73" s="1">
        <v>50</v>
      </c>
      <c r="R73" s="156">
        <f t="shared" si="3"/>
        <v>0</v>
      </c>
    </row>
    <row r="74" spans="13:18" ht="12.75">
      <c r="M74" s="122">
        <f>M73+1</f>
        <v>28</v>
      </c>
      <c r="N74" s="118">
        <f t="shared" si="5"/>
        <v>4.7</v>
      </c>
      <c r="O74" s="118">
        <v>5</v>
      </c>
      <c r="P74" s="117">
        <v>9.5</v>
      </c>
      <c r="Q74" s="1">
        <v>50</v>
      </c>
      <c r="R74" s="156">
        <f t="shared" si="3"/>
        <v>0</v>
      </c>
    </row>
    <row r="75" spans="13:18" ht="12.75">
      <c r="M75" s="122">
        <f t="shared" si="1"/>
        <v>29</v>
      </c>
      <c r="N75" s="118">
        <f t="shared" si="5"/>
        <v>4.7</v>
      </c>
      <c r="O75" s="118">
        <v>5</v>
      </c>
      <c r="P75" s="117">
        <v>9.5</v>
      </c>
      <c r="Q75" s="1">
        <v>50</v>
      </c>
      <c r="R75" s="156">
        <f t="shared" si="3"/>
        <v>0</v>
      </c>
    </row>
    <row r="76" spans="16:18" ht="12.75">
      <c r="P76" s="62" t="s">
        <v>270</v>
      </c>
      <c r="Q76" s="121">
        <f>SUM(Q46:Q75)</f>
        <v>1500</v>
      </c>
      <c r="R76" s="121">
        <f>SUM(R46:R75)</f>
        <v>414.6500000000001</v>
      </c>
    </row>
    <row r="77" spans="16:18" ht="12.75">
      <c r="P77" s="62" t="s">
        <v>313</v>
      </c>
      <c r="Q77" s="157">
        <f>Q76/30</f>
        <v>50</v>
      </c>
      <c r="R77" s="157">
        <f>R76/30</f>
        <v>13.821666666666669</v>
      </c>
    </row>
    <row r="78" spans="16:18" ht="12.75">
      <c r="P78" s="62" t="s">
        <v>312</v>
      </c>
      <c r="Q78" s="68"/>
      <c r="R78" s="157">
        <f>Q77-R77</f>
        <v>36.17833333333333</v>
      </c>
    </row>
  </sheetData>
  <sheetProtection sheet="1" objects="1" scenarios="1"/>
  <printOptions/>
  <pageMargins left="0.75" right="0.75" top="1" bottom="1" header="0.5" footer="0.5"/>
  <pageSetup horizontalDpi="300" verticalDpi="300" orientation="portrait" paperSize="9" r:id="rId4"/>
  <headerFooter alignWithMargins="0">
    <oddHeader>&amp;C&amp;A</oddHeader>
    <oddFooter>&amp;CPage &amp;P</oddFooter>
  </headerFooter>
  <drawing r:id="rId3"/>
  <legacyDrawing r:id="rId2"/>
</worksheet>
</file>

<file path=xl/worksheets/sheet19.xml><?xml version="1.0" encoding="utf-8"?>
<worksheet xmlns="http://schemas.openxmlformats.org/spreadsheetml/2006/main" xmlns:r="http://schemas.openxmlformats.org/officeDocument/2006/relationships">
  <sheetPr codeName="Sheet10"/>
  <dimension ref="A1:A18"/>
  <sheetViews>
    <sheetView showGridLines="0" workbookViewId="0" topLeftCell="A1">
      <selection activeCell="A1" sqref="A1"/>
    </sheetView>
  </sheetViews>
  <sheetFormatPr defaultColWidth="9.140625" defaultRowHeight="12.75"/>
  <cols>
    <col min="1" max="1" width="85.00390625" style="2" customWidth="1"/>
  </cols>
  <sheetData>
    <row r="1" ht="27" customHeight="1">
      <c r="A1" s="110" t="str">
        <f>Stat!A3</f>
        <v>Terug naar inhoud:</v>
      </c>
    </row>
    <row r="3" ht="12.75">
      <c r="A3" s="14" t="s">
        <v>234</v>
      </c>
    </row>
    <row r="4" ht="26.25">
      <c r="A4" s="15" t="s">
        <v>235</v>
      </c>
    </row>
    <row r="5" ht="12.75">
      <c r="A5" s="15" t="s">
        <v>236</v>
      </c>
    </row>
    <row r="6" ht="26.25">
      <c r="A6" s="15" t="s">
        <v>237</v>
      </c>
    </row>
    <row r="8" ht="12.75">
      <c r="A8" s="16" t="s">
        <v>238</v>
      </c>
    </row>
    <row r="9" ht="12.75">
      <c r="A9" s="17" t="s">
        <v>239</v>
      </c>
    </row>
    <row r="10" ht="26.25">
      <c r="A10" s="17" t="s">
        <v>240</v>
      </c>
    </row>
    <row r="11" ht="39">
      <c r="A11" s="17" t="s">
        <v>241</v>
      </c>
    </row>
    <row r="12" ht="39">
      <c r="A12" s="17" t="s">
        <v>242</v>
      </c>
    </row>
    <row r="14" ht="12.75">
      <c r="A14" s="18" t="s">
        <v>243</v>
      </c>
    </row>
    <row r="15" ht="39">
      <c r="A15" s="19" t="s">
        <v>244</v>
      </c>
    </row>
    <row r="16" ht="26.25">
      <c r="A16" s="19" t="s">
        <v>245</v>
      </c>
    </row>
    <row r="17" ht="12.75">
      <c r="A17" s="19" t="s">
        <v>246</v>
      </c>
    </row>
    <row r="18" ht="26.25">
      <c r="A18" s="19" t="s">
        <v>247</v>
      </c>
    </row>
  </sheetData>
  <sheetProtection sheet="1" objects="1" scenarios="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S54"/>
  <sheetViews>
    <sheetView showGridLines="0" zoomScale="90" zoomScaleNormal="90" workbookViewId="0" topLeftCell="A1">
      <selection activeCell="A2" sqref="A2"/>
    </sheetView>
  </sheetViews>
  <sheetFormatPr defaultColWidth="9.140625" defaultRowHeight="12.75"/>
  <cols>
    <col min="1" max="1" width="25.28125" style="56" customWidth="1"/>
    <col min="2" max="2" width="7.28125" style="20" customWidth="1"/>
    <col min="3" max="3" width="6.8515625" style="20" customWidth="1"/>
    <col min="4" max="4" width="9.7109375" style="234" customWidth="1"/>
    <col min="5" max="5" width="7.7109375" style="20" customWidth="1"/>
    <col min="6" max="6" width="7.28125" style="20" customWidth="1"/>
    <col min="7" max="7" width="4.57421875" style="54" customWidth="1"/>
    <col min="8" max="8" width="4.7109375" style="54" customWidth="1"/>
    <col min="9" max="9" width="10.00390625" style="52" customWidth="1"/>
    <col min="10" max="10" width="7.140625" style="53" customWidth="1"/>
    <col min="11" max="11" width="6.421875" style="53" customWidth="1"/>
    <col min="12" max="12" width="6.421875" style="53" hidden="1" customWidth="1"/>
    <col min="13" max="13" width="6.8515625" style="54" hidden="1" customWidth="1"/>
    <col min="14" max="16" width="6.00390625" style="54" hidden="1" customWidth="1"/>
    <col min="17" max="17" width="5.421875" style="54" hidden="1" customWidth="1"/>
    <col min="18" max="18" width="6.57421875" style="20" hidden="1" customWidth="1"/>
    <col min="19" max="19" width="5.421875" style="20" hidden="1" customWidth="1"/>
    <col min="20" max="16384" width="8.8515625" style="20" customWidth="1"/>
  </cols>
  <sheetData>
    <row r="1" ht="18">
      <c r="A1" s="50" t="s">
        <v>311</v>
      </c>
    </row>
    <row r="2" ht="12.75"/>
    <row r="3" ht="12.75">
      <c r="A3" s="62" t="s">
        <v>19</v>
      </c>
    </row>
    <row r="4" ht="12.75"/>
    <row r="5" ht="12.75">
      <c r="A5" s="55" t="s">
        <v>370</v>
      </c>
    </row>
    <row r="6" ht="12.75">
      <c r="A6" s="56" t="s">
        <v>320</v>
      </c>
    </row>
    <row r="7" ht="12.75">
      <c r="A7" s="56" t="s">
        <v>321</v>
      </c>
    </row>
    <row r="8" ht="8.25" customHeight="1"/>
    <row r="9" ht="12.75" hidden="1"/>
    <row r="10" ht="12.75" hidden="1"/>
    <row r="11" ht="12.75" hidden="1"/>
    <row r="12" ht="12.75" hidden="1"/>
    <row r="13" ht="12.75" hidden="1"/>
    <row r="14" ht="12.75" hidden="1"/>
    <row r="15" ht="12.75" hidden="1"/>
    <row r="16" ht="12.75" hidden="1"/>
    <row r="17" ht="12.75" hidden="1"/>
    <row r="18" ht="12.75" hidden="1"/>
    <row r="19" spans="1:17" s="176" customFormat="1" ht="12.75">
      <c r="A19" s="175"/>
      <c r="D19" s="235"/>
      <c r="G19" s="179"/>
      <c r="H19" s="179"/>
      <c r="I19" s="177"/>
      <c r="J19" s="178"/>
      <c r="K19" s="178"/>
      <c r="L19" s="178"/>
      <c r="M19" s="179"/>
      <c r="N19" s="179"/>
      <c r="O19" s="179"/>
      <c r="P19" s="179"/>
      <c r="Q19" s="179"/>
    </row>
    <row r="20" ht="12.75"/>
    <row r="21" ht="12.75">
      <c r="A21" s="55" t="str">
        <f>A1</f>
        <v>Huidige situatie</v>
      </c>
    </row>
    <row r="22" ht="12.75">
      <c r="A22" s="55" t="str">
        <f>A6</f>
        <v>M1 grondkwaliteit</v>
      </c>
    </row>
    <row r="23" ht="12.75">
      <c r="A23" s="56" t="str">
        <f>A1</f>
        <v>Huidige situatie</v>
      </c>
    </row>
    <row r="24" spans="1:19" s="19" customFormat="1" ht="26.25" customHeight="1">
      <c r="A24" s="132" t="s">
        <v>21</v>
      </c>
      <c r="B24" s="132" t="s">
        <v>22</v>
      </c>
      <c r="C24" s="132" t="s">
        <v>23</v>
      </c>
      <c r="D24" s="236" t="s">
        <v>417</v>
      </c>
      <c r="E24" s="132" t="s">
        <v>421</v>
      </c>
      <c r="F24" s="132" t="s">
        <v>24</v>
      </c>
      <c r="G24" s="232" t="s">
        <v>25</v>
      </c>
      <c r="H24" s="232" t="s">
        <v>26</v>
      </c>
      <c r="I24" s="232" t="s">
        <v>369</v>
      </c>
      <c r="J24" s="232" t="s">
        <v>273</v>
      </c>
      <c r="K24" s="78"/>
      <c r="L24" s="127" t="s">
        <v>27</v>
      </c>
      <c r="M24" s="127" t="s">
        <v>28</v>
      </c>
      <c r="N24" s="127" t="s">
        <v>29</v>
      </c>
      <c r="O24" s="130" t="s">
        <v>30</v>
      </c>
      <c r="P24" s="128" t="s">
        <v>31</v>
      </c>
      <c r="Q24" s="128" t="s">
        <v>32</v>
      </c>
      <c r="R24" s="128" t="s">
        <v>33</v>
      </c>
      <c r="S24" s="128" t="s">
        <v>34</v>
      </c>
    </row>
    <row r="25" spans="1:19" ht="12.75">
      <c r="A25" s="63"/>
      <c r="B25" s="115">
        <f>IF($P25&gt;0,(L25*($P25+$Q25*$G25+$R25*$S25))/($P25+$Q25*25+$R25*10),L25*S25/10)</f>
        <v>0</v>
      </c>
      <c r="C25" s="115">
        <f>IF($P25&gt;0,(M25*($P25+$Q25*$G25+$R25*$S25))/($P25+$Q25*25+$R25*10),M25*S25/10)</f>
        <v>0</v>
      </c>
      <c r="D25" s="237">
        <f>IF(E25&gt;B25,0.000001*(E25-B25)*F25,0)</f>
        <v>0</v>
      </c>
      <c r="E25" s="64"/>
      <c r="F25" s="64"/>
      <c r="G25" s="335">
        <v>25</v>
      </c>
      <c r="H25" s="335">
        <v>10</v>
      </c>
      <c r="I25" s="71">
        <f>IF(D25&gt;0,1000000*D25/(N25),0)</f>
        <v>0</v>
      </c>
      <c r="J25" s="71">
        <f>0.0000017*D25</f>
        <v>0</v>
      </c>
      <c r="K25" s="52"/>
      <c r="L25" s="57">
        <f>INDEX(Normen!$A$12:$C$128,$O25,2)</f>
        <v>0</v>
      </c>
      <c r="M25" s="57">
        <f>INDEX(Normen!$A$12:$C$128,$O25,3)</f>
        <v>0</v>
      </c>
      <c r="N25" s="53">
        <f aca="true" t="shared" si="0" ref="N25:N35">0.5*(B25+C25)</f>
        <v>0</v>
      </c>
      <c r="O25" s="57">
        <v>1</v>
      </c>
      <c r="P25" s="53">
        <f>INDEX(Normen!$A$12:$M$128,$O25,11)</f>
        <v>0</v>
      </c>
      <c r="Q25" s="53">
        <f>INDEX(Normen!$A$12:$M$128,$O25,12)</f>
        <v>0</v>
      </c>
      <c r="R25" s="53">
        <f>INDEX(Normen!$A$12:$M$128,$O25,13)</f>
        <v>0</v>
      </c>
      <c r="S25" s="53">
        <f>IF(AND(AND(O25&gt;53,O25&lt;65),(H25&lt;10)),10,IF(H25&lt;2,2,IF(H25&gt;30,30,H25)))</f>
        <v>10</v>
      </c>
    </row>
    <row r="26" spans="1:19" ht="12.75">
      <c r="A26" s="63"/>
      <c r="B26" s="115">
        <f aca="true" t="shared" si="1" ref="B26:B32">IF($P26&gt;0,(L26*($P26+$Q26*$G26+$R26*$S26))/($P26+$Q26*25+$R26*10),L26*S26/10)</f>
        <v>0</v>
      </c>
      <c r="C26" s="115">
        <f aca="true" t="shared" si="2" ref="C26:C32">IF($P26&gt;0,(M26*($P26+$Q26*$G26+$R26*$S26))/($P26+$Q26*25+$R26*10),M26*S26/10)</f>
        <v>0</v>
      </c>
      <c r="D26" s="237">
        <f aca="true" t="shared" si="3" ref="D26:D35">IF(E26&gt;B26,0.000001*(E26-B26)*F26,0)</f>
        <v>0</v>
      </c>
      <c r="E26" s="64"/>
      <c r="F26" s="64"/>
      <c r="G26" s="335">
        <f>G25</f>
        <v>25</v>
      </c>
      <c r="H26" s="335">
        <f>H25</f>
        <v>10</v>
      </c>
      <c r="I26" s="71">
        <f aca="true" t="shared" si="4" ref="I26:I35">IF(D26&gt;0,1000000*D26/(N26),0)</f>
        <v>0</v>
      </c>
      <c r="J26" s="71">
        <f aca="true" t="shared" si="5" ref="J26:J35">0.0000017*D26</f>
        <v>0</v>
      </c>
      <c r="K26" s="52"/>
      <c r="L26" s="57">
        <f>INDEX(Normen!$A$12:$C$128,$O26,2)</f>
        <v>0</v>
      </c>
      <c r="M26" s="57">
        <f>INDEX(Normen!$A$12:$C$128,$O26,3)</f>
        <v>0</v>
      </c>
      <c r="N26" s="53">
        <f t="shared" si="0"/>
        <v>0</v>
      </c>
      <c r="O26" s="57">
        <v>1</v>
      </c>
      <c r="P26" s="53">
        <f>INDEX(Normen!$A$12:$M$128,$O26,11)</f>
        <v>0</v>
      </c>
      <c r="Q26" s="53">
        <f>INDEX(Normen!$A$12:$M$128,$O26,12)</f>
        <v>0</v>
      </c>
      <c r="R26" s="53">
        <f>INDEX(Normen!$A$12:$M$128,$O26,13)</f>
        <v>0</v>
      </c>
      <c r="S26" s="53">
        <f aca="true" t="shared" si="6" ref="S26:S32">IF(AND(AND(O26&gt;53,O26&lt;65),(H26&lt;10)),10,IF(H26&lt;2,2,IF(H26&gt;30,30,H26)))</f>
        <v>10</v>
      </c>
    </row>
    <row r="27" spans="1:19" ht="12.75">
      <c r="A27" s="63"/>
      <c r="B27" s="115">
        <f t="shared" si="1"/>
        <v>0</v>
      </c>
      <c r="C27" s="115">
        <f t="shared" si="2"/>
        <v>0</v>
      </c>
      <c r="D27" s="237">
        <f t="shared" si="3"/>
        <v>0</v>
      </c>
      <c r="E27" s="64"/>
      <c r="F27" s="64"/>
      <c r="G27" s="335">
        <f>G26</f>
        <v>25</v>
      </c>
      <c r="H27" s="335">
        <f aca="true" t="shared" si="7" ref="H27:H32">H26</f>
        <v>10</v>
      </c>
      <c r="I27" s="71">
        <f t="shared" si="4"/>
        <v>0</v>
      </c>
      <c r="J27" s="71">
        <f t="shared" si="5"/>
        <v>0</v>
      </c>
      <c r="K27" s="52"/>
      <c r="L27" s="57">
        <f>INDEX(Normen!$A$12:$C$128,$O27,2)</f>
        <v>0</v>
      </c>
      <c r="M27" s="57">
        <f>INDEX(Normen!$A$12:$C$128,$O27,3)</f>
        <v>0</v>
      </c>
      <c r="N27" s="53">
        <f t="shared" si="0"/>
        <v>0</v>
      </c>
      <c r="O27" s="57">
        <v>1</v>
      </c>
      <c r="P27" s="53">
        <f>INDEX(Normen!$A$12:$M$128,$O27,11)</f>
        <v>0</v>
      </c>
      <c r="Q27" s="53">
        <f>INDEX(Normen!$A$12:$M$128,$O27,12)</f>
        <v>0</v>
      </c>
      <c r="R27" s="53">
        <f>INDEX(Normen!$A$12:$M$128,$O27,13)</f>
        <v>0</v>
      </c>
      <c r="S27" s="53">
        <f t="shared" si="6"/>
        <v>10</v>
      </c>
    </row>
    <row r="28" spans="1:19" ht="12.75">
      <c r="A28" s="63"/>
      <c r="B28" s="115">
        <f t="shared" si="1"/>
        <v>0</v>
      </c>
      <c r="C28" s="115">
        <f t="shared" si="2"/>
        <v>0</v>
      </c>
      <c r="D28" s="237">
        <f t="shared" si="3"/>
        <v>0</v>
      </c>
      <c r="E28" s="64"/>
      <c r="F28" s="64"/>
      <c r="G28" s="335">
        <f>G27</f>
        <v>25</v>
      </c>
      <c r="H28" s="335">
        <f t="shared" si="7"/>
        <v>10</v>
      </c>
      <c r="I28" s="71">
        <f t="shared" si="4"/>
        <v>0</v>
      </c>
      <c r="J28" s="71">
        <f t="shared" si="5"/>
        <v>0</v>
      </c>
      <c r="K28" s="52"/>
      <c r="L28" s="57">
        <f>INDEX(Normen!$A$12:$C$128,$O28,2)</f>
        <v>0</v>
      </c>
      <c r="M28" s="57">
        <f>INDEX(Normen!$A$12:$C$128,$O28,3)</f>
        <v>0</v>
      </c>
      <c r="N28" s="53">
        <f t="shared" si="0"/>
        <v>0</v>
      </c>
      <c r="O28" s="57">
        <v>1</v>
      </c>
      <c r="P28" s="53">
        <f>INDEX(Normen!$A$12:$M$128,$O28,11)</f>
        <v>0</v>
      </c>
      <c r="Q28" s="53">
        <f>INDEX(Normen!$A$12:$M$128,$O28,12)</f>
        <v>0</v>
      </c>
      <c r="R28" s="53">
        <f>INDEX(Normen!$A$12:$M$128,$O28,13)</f>
        <v>0</v>
      </c>
      <c r="S28" s="53">
        <f t="shared" si="6"/>
        <v>10</v>
      </c>
    </row>
    <row r="29" spans="1:19" ht="12.75">
      <c r="A29" s="63"/>
      <c r="B29" s="115">
        <f t="shared" si="1"/>
        <v>0</v>
      </c>
      <c r="C29" s="115">
        <f t="shared" si="2"/>
        <v>0</v>
      </c>
      <c r="D29" s="237">
        <f t="shared" si="3"/>
        <v>0</v>
      </c>
      <c r="E29" s="64"/>
      <c r="F29" s="64"/>
      <c r="G29" s="335">
        <f>G28</f>
        <v>25</v>
      </c>
      <c r="H29" s="335">
        <f t="shared" si="7"/>
        <v>10</v>
      </c>
      <c r="I29" s="71">
        <f t="shared" si="4"/>
        <v>0</v>
      </c>
      <c r="J29" s="71">
        <f t="shared" si="5"/>
        <v>0</v>
      </c>
      <c r="K29" s="52"/>
      <c r="L29" s="57">
        <f>INDEX(Normen!$A$12:$C$128,$O29,2)</f>
        <v>0</v>
      </c>
      <c r="M29" s="57">
        <f>INDEX(Normen!$A$12:$C$128,$O29,3)</f>
        <v>0</v>
      </c>
      <c r="N29" s="53">
        <f t="shared" si="0"/>
        <v>0</v>
      </c>
      <c r="O29" s="57">
        <v>1</v>
      </c>
      <c r="P29" s="53">
        <f>INDEX(Normen!$A$12:$M$128,$O29,11)</f>
        <v>0</v>
      </c>
      <c r="Q29" s="53">
        <f>INDEX(Normen!$A$12:$M$128,$O29,12)</f>
        <v>0</v>
      </c>
      <c r="R29" s="53">
        <f>INDEX(Normen!$A$12:$M$128,$O29,13)</f>
        <v>0</v>
      </c>
      <c r="S29" s="53">
        <f t="shared" si="6"/>
        <v>10</v>
      </c>
    </row>
    <row r="30" spans="1:19" ht="12.75">
      <c r="A30" s="63"/>
      <c r="B30" s="115">
        <f t="shared" si="1"/>
        <v>0</v>
      </c>
      <c r="C30" s="115">
        <f t="shared" si="2"/>
        <v>0</v>
      </c>
      <c r="D30" s="237">
        <f t="shared" si="3"/>
        <v>0</v>
      </c>
      <c r="E30" s="64"/>
      <c r="F30" s="64"/>
      <c r="G30" s="335">
        <f>G29</f>
        <v>25</v>
      </c>
      <c r="H30" s="335">
        <f t="shared" si="7"/>
        <v>10</v>
      </c>
      <c r="I30" s="71">
        <f t="shared" si="4"/>
        <v>0</v>
      </c>
      <c r="J30" s="71">
        <f t="shared" si="5"/>
        <v>0</v>
      </c>
      <c r="K30" s="52"/>
      <c r="L30" s="57">
        <f>INDEX(Normen!$A$12:$C$128,$O30,2)</f>
        <v>0</v>
      </c>
      <c r="M30" s="57">
        <f>INDEX(Normen!$A$12:$C$128,$O30,3)</f>
        <v>0</v>
      </c>
      <c r="N30" s="53">
        <f t="shared" si="0"/>
        <v>0</v>
      </c>
      <c r="O30" s="57">
        <v>1</v>
      </c>
      <c r="P30" s="53">
        <f>INDEX(Normen!$A$12:$M$128,$O30,11)</f>
        <v>0</v>
      </c>
      <c r="Q30" s="53">
        <f>INDEX(Normen!$A$12:$M$128,$O30,12)</f>
        <v>0</v>
      </c>
      <c r="R30" s="53">
        <f>INDEX(Normen!$A$12:$M$128,$O30,13)</f>
        <v>0</v>
      </c>
      <c r="S30" s="53">
        <f t="shared" si="6"/>
        <v>10</v>
      </c>
    </row>
    <row r="31" spans="1:19" ht="12.75">
      <c r="A31" s="63"/>
      <c r="B31" s="115">
        <f t="shared" si="1"/>
        <v>0</v>
      </c>
      <c r="C31" s="115">
        <f t="shared" si="2"/>
        <v>0</v>
      </c>
      <c r="D31" s="237">
        <f t="shared" si="3"/>
        <v>0</v>
      </c>
      <c r="E31" s="64"/>
      <c r="F31" s="64"/>
      <c r="G31" s="335">
        <f>G28</f>
        <v>25</v>
      </c>
      <c r="H31" s="335">
        <f t="shared" si="7"/>
        <v>10</v>
      </c>
      <c r="I31" s="71">
        <f t="shared" si="4"/>
        <v>0</v>
      </c>
      <c r="J31" s="71">
        <f t="shared" si="5"/>
        <v>0</v>
      </c>
      <c r="K31" s="52"/>
      <c r="L31" s="57">
        <f>INDEX(Normen!$A$12:$C$128,$O31,2)</f>
        <v>0</v>
      </c>
      <c r="M31" s="57">
        <f>INDEX(Normen!$A$12:$C$128,$O31,3)</f>
        <v>0</v>
      </c>
      <c r="N31" s="53">
        <f t="shared" si="0"/>
        <v>0</v>
      </c>
      <c r="O31" s="57">
        <v>1</v>
      </c>
      <c r="P31" s="53">
        <f>INDEX(Normen!$A$12:$M$128,$O31,11)</f>
        <v>0</v>
      </c>
      <c r="Q31" s="53">
        <f>INDEX(Normen!$A$12:$M$128,$O31,12)</f>
        <v>0</v>
      </c>
      <c r="R31" s="53">
        <f>INDEX(Normen!$A$12:$M$128,$O31,13)</f>
        <v>0</v>
      </c>
      <c r="S31" s="53">
        <f t="shared" si="6"/>
        <v>10</v>
      </c>
    </row>
    <row r="32" spans="1:19" ht="12.75">
      <c r="A32" s="63"/>
      <c r="B32" s="115">
        <f t="shared" si="1"/>
        <v>0</v>
      </c>
      <c r="C32" s="115">
        <f t="shared" si="2"/>
        <v>0</v>
      </c>
      <c r="D32" s="237">
        <f t="shared" si="3"/>
        <v>0</v>
      </c>
      <c r="E32" s="64"/>
      <c r="F32" s="64"/>
      <c r="G32" s="335">
        <f>G31</f>
        <v>25</v>
      </c>
      <c r="H32" s="335">
        <f t="shared" si="7"/>
        <v>10</v>
      </c>
      <c r="I32" s="71">
        <f t="shared" si="4"/>
        <v>0</v>
      </c>
      <c r="J32" s="71">
        <f t="shared" si="5"/>
        <v>0</v>
      </c>
      <c r="K32" s="52"/>
      <c r="L32" s="57">
        <f>INDEX(Normen!$A$12:$C$128,$O32,2)</f>
        <v>0</v>
      </c>
      <c r="M32" s="57">
        <f>INDEX(Normen!$A$12:$C$128,$O32,3)</f>
        <v>0</v>
      </c>
      <c r="N32" s="53">
        <f t="shared" si="0"/>
        <v>0</v>
      </c>
      <c r="O32" s="57">
        <v>1</v>
      </c>
      <c r="P32" s="53">
        <f>INDEX(Normen!$A$12:$M$128,$O32,11)</f>
        <v>0</v>
      </c>
      <c r="Q32" s="53">
        <f>INDEX(Normen!$A$12:$M$128,$O32,12)</f>
        <v>0</v>
      </c>
      <c r="R32" s="53">
        <f>INDEX(Normen!$A$12:$M$128,$O32,13)</f>
        <v>0</v>
      </c>
      <c r="S32" s="53">
        <f t="shared" si="6"/>
        <v>10</v>
      </c>
    </row>
    <row r="33" spans="1:19" ht="12.75">
      <c r="A33" s="65" t="s">
        <v>35</v>
      </c>
      <c r="B33" s="66"/>
      <c r="C33" s="66"/>
      <c r="D33" s="237">
        <f t="shared" si="3"/>
        <v>0</v>
      </c>
      <c r="E33" s="64"/>
      <c r="F33" s="64"/>
      <c r="G33" s="72"/>
      <c r="H33" s="72"/>
      <c r="I33" s="71">
        <f t="shared" si="4"/>
        <v>0</v>
      </c>
      <c r="J33" s="71">
        <f t="shared" si="5"/>
        <v>0</v>
      </c>
      <c r="K33" s="52"/>
      <c r="L33" s="57"/>
      <c r="M33" s="57"/>
      <c r="N33" s="53">
        <f t="shared" si="0"/>
        <v>0</v>
      </c>
      <c r="O33" s="57"/>
      <c r="P33" s="53"/>
      <c r="Q33" s="53"/>
      <c r="R33" s="53"/>
      <c r="S33" s="53"/>
    </row>
    <row r="34" spans="1:19" ht="12.75">
      <c r="A34" s="65" t="s">
        <v>35</v>
      </c>
      <c r="B34" s="66"/>
      <c r="C34" s="66"/>
      <c r="D34" s="237">
        <f t="shared" si="3"/>
        <v>0</v>
      </c>
      <c r="E34" s="64"/>
      <c r="F34" s="64"/>
      <c r="G34" s="72"/>
      <c r="H34" s="72"/>
      <c r="I34" s="71">
        <f t="shared" si="4"/>
        <v>0</v>
      </c>
      <c r="J34" s="71">
        <f t="shared" si="5"/>
        <v>0</v>
      </c>
      <c r="K34" s="52"/>
      <c r="L34" s="57"/>
      <c r="M34" s="57"/>
      <c r="N34" s="53">
        <f t="shared" si="0"/>
        <v>0</v>
      </c>
      <c r="O34" s="57"/>
      <c r="P34" s="53"/>
      <c r="Q34" s="53"/>
      <c r="R34" s="53"/>
      <c r="S34" s="53"/>
    </row>
    <row r="35" spans="1:19" ht="12.75">
      <c r="A35" s="65" t="s">
        <v>35</v>
      </c>
      <c r="B35" s="66"/>
      <c r="C35" s="66"/>
      <c r="D35" s="237">
        <f t="shared" si="3"/>
        <v>0</v>
      </c>
      <c r="E35" s="64"/>
      <c r="F35" s="64"/>
      <c r="G35" s="72"/>
      <c r="H35" s="72"/>
      <c r="I35" s="71">
        <f t="shared" si="4"/>
        <v>0</v>
      </c>
      <c r="J35" s="71">
        <f t="shared" si="5"/>
        <v>0</v>
      </c>
      <c r="K35" s="52"/>
      <c r="L35" s="20"/>
      <c r="M35" s="20"/>
      <c r="N35" s="53">
        <f t="shared" si="0"/>
        <v>0</v>
      </c>
      <c r="O35" s="57"/>
      <c r="P35" s="53"/>
      <c r="Q35" s="53"/>
      <c r="R35" s="53"/>
      <c r="S35" s="53"/>
    </row>
    <row r="36" spans="2:19" ht="12.75">
      <c r="B36" s="162"/>
      <c r="C36" s="162"/>
      <c r="D36" s="238"/>
      <c r="E36" s="230" t="s">
        <v>405</v>
      </c>
      <c r="F36" s="229">
        <f>MAX(F25:F35)</f>
        <v>0</v>
      </c>
      <c r="G36" s="274" t="s">
        <v>68</v>
      </c>
      <c r="H36" s="71"/>
      <c r="I36" s="233">
        <f>SUM(I25:I35)</f>
        <v>0</v>
      </c>
      <c r="J36" s="233"/>
      <c r="K36" s="60"/>
      <c r="M36" s="53"/>
      <c r="N36" s="53"/>
      <c r="R36" s="54"/>
      <c r="S36" s="54"/>
    </row>
    <row r="37" ht="12.75"/>
    <row r="38" ht="12.75"/>
    <row r="39" ht="12.75">
      <c r="A39" s="55" t="str">
        <f>A1</f>
        <v>Huidige situatie</v>
      </c>
    </row>
    <row r="40" ht="12.75">
      <c r="A40" s="55" t="str">
        <f>A7</f>
        <v>M2 grondwaterkwaliteit</v>
      </c>
    </row>
    <row r="41" ht="12.75">
      <c r="A41" s="56" t="str">
        <f>A1</f>
        <v>Huidige situatie</v>
      </c>
    </row>
    <row r="42" spans="1:17" s="19" customFormat="1" ht="27" customHeight="1">
      <c r="A42" s="132" t="s">
        <v>21</v>
      </c>
      <c r="B42" s="132" t="s">
        <v>37</v>
      </c>
      <c r="C42" s="132" t="s">
        <v>38</v>
      </c>
      <c r="D42" s="236" t="s">
        <v>417</v>
      </c>
      <c r="E42" s="132" t="s">
        <v>413</v>
      </c>
      <c r="F42" s="132" t="s">
        <v>24</v>
      </c>
      <c r="G42" s="232"/>
      <c r="H42" s="232"/>
      <c r="I42" s="232" t="s">
        <v>272</v>
      </c>
      <c r="J42" s="232" t="s">
        <v>274</v>
      </c>
      <c r="K42" s="128"/>
      <c r="L42" s="129"/>
      <c r="M42" s="127" t="s">
        <v>40</v>
      </c>
      <c r="N42" s="129"/>
      <c r="O42" s="129"/>
      <c r="P42" s="129"/>
      <c r="Q42" s="129"/>
    </row>
    <row r="43" spans="1:16" ht="12.75">
      <c r="A43" s="63"/>
      <c r="B43" s="71">
        <f>INDEX(Normen!$A$12:$F$128,$P43,5)</f>
        <v>0</v>
      </c>
      <c r="C43" s="71">
        <f>INDEX(Normen!$A$12:$F$128,$P43,6)</f>
        <v>0</v>
      </c>
      <c r="D43" s="237">
        <f>IF(E43&gt;B43,0.000000001*(E43-B43)*F43,0)</f>
        <v>0</v>
      </c>
      <c r="E43" s="64"/>
      <c r="F43" s="64"/>
      <c r="G43" s="71"/>
      <c r="H43" s="71"/>
      <c r="I43" s="71">
        <f>IF(D43&gt;0,1000000000*D43/(M43),0)</f>
        <v>0</v>
      </c>
      <c r="J43" s="71">
        <f aca="true" t="shared" si="8" ref="J43:J53">0.000000001*D43</f>
        <v>0</v>
      </c>
      <c r="L43" s="54"/>
      <c r="M43" s="53">
        <f aca="true" t="shared" si="9" ref="M43:M53">0.5*(B43+C43)</f>
        <v>0</v>
      </c>
      <c r="P43" s="57">
        <v>1</v>
      </c>
    </row>
    <row r="44" spans="1:16" ht="12.75">
      <c r="A44" s="63"/>
      <c r="B44" s="71">
        <f>INDEX(Normen!$A$12:$F$128,$P44,5)</f>
        <v>0</v>
      </c>
      <c r="C44" s="71">
        <f>INDEX(Normen!$A$12:$F$128,$P44,6)</f>
        <v>0</v>
      </c>
      <c r="D44" s="237">
        <f aca="true" t="shared" si="10" ref="D44:D53">IF(E44&gt;B44,0.000000001*(E44-B44)*F44,0)</f>
        <v>0</v>
      </c>
      <c r="E44" s="64"/>
      <c r="F44" s="64"/>
      <c r="G44" s="71"/>
      <c r="H44" s="71"/>
      <c r="I44" s="71">
        <f aca="true" t="shared" si="11" ref="I44:I53">IF(D44&gt;0,1000000000*D44/(M44),0)</f>
        <v>0</v>
      </c>
      <c r="J44" s="71">
        <f t="shared" si="8"/>
        <v>0</v>
      </c>
      <c r="L44" s="54"/>
      <c r="M44" s="53">
        <f t="shared" si="9"/>
        <v>0</v>
      </c>
      <c r="P44" s="57">
        <v>1</v>
      </c>
    </row>
    <row r="45" spans="1:16" ht="12.75">
      <c r="A45" s="63"/>
      <c r="B45" s="71">
        <f>INDEX(Normen!$A$12:$F$128,$P45,5)</f>
        <v>0</v>
      </c>
      <c r="C45" s="71">
        <f>INDEX(Normen!$A$12:$F$128,$P45,6)</f>
        <v>0</v>
      </c>
      <c r="D45" s="237">
        <f t="shared" si="10"/>
        <v>0</v>
      </c>
      <c r="E45" s="64"/>
      <c r="F45" s="64"/>
      <c r="G45" s="71"/>
      <c r="H45" s="71"/>
      <c r="I45" s="71">
        <f t="shared" si="11"/>
        <v>0</v>
      </c>
      <c r="J45" s="71">
        <f t="shared" si="8"/>
        <v>0</v>
      </c>
      <c r="L45" s="54"/>
      <c r="M45" s="53">
        <f t="shared" si="9"/>
        <v>0</v>
      </c>
      <c r="P45" s="57">
        <v>1</v>
      </c>
    </row>
    <row r="46" spans="1:16" ht="12.75">
      <c r="A46" s="63"/>
      <c r="B46" s="71">
        <f>INDEX(Normen!$A$12:$F$128,$P46,5)</f>
        <v>0</v>
      </c>
      <c r="C46" s="71">
        <f>INDEX(Normen!$A$12:$F$128,$P46,6)</f>
        <v>0</v>
      </c>
      <c r="D46" s="237">
        <f t="shared" si="10"/>
        <v>0</v>
      </c>
      <c r="E46" s="64"/>
      <c r="F46" s="64"/>
      <c r="G46" s="71"/>
      <c r="H46" s="71"/>
      <c r="I46" s="71">
        <f t="shared" si="11"/>
        <v>0</v>
      </c>
      <c r="J46" s="71">
        <f t="shared" si="8"/>
        <v>0</v>
      </c>
      <c r="L46" s="54"/>
      <c r="M46" s="53">
        <f t="shared" si="9"/>
        <v>0</v>
      </c>
      <c r="P46" s="57">
        <v>1</v>
      </c>
    </row>
    <row r="47" spans="1:16" ht="12.75">
      <c r="A47" s="63"/>
      <c r="B47" s="71">
        <f>INDEX(Normen!$A$12:$F$128,$P47,5)</f>
        <v>0</v>
      </c>
      <c r="C47" s="71">
        <f>INDEX(Normen!$A$12:$F$128,$P47,6)</f>
        <v>0</v>
      </c>
      <c r="D47" s="237">
        <f t="shared" si="10"/>
        <v>0</v>
      </c>
      <c r="E47" s="64"/>
      <c r="F47" s="64"/>
      <c r="G47" s="71"/>
      <c r="H47" s="71"/>
      <c r="I47" s="71">
        <f t="shared" si="11"/>
        <v>0</v>
      </c>
      <c r="J47" s="71">
        <f t="shared" si="8"/>
        <v>0</v>
      </c>
      <c r="L47" s="54"/>
      <c r="M47" s="53">
        <f t="shared" si="9"/>
        <v>0</v>
      </c>
      <c r="P47" s="57">
        <v>1</v>
      </c>
    </row>
    <row r="48" spans="1:16" ht="12.75">
      <c r="A48" s="63"/>
      <c r="B48" s="71">
        <f>INDEX(Normen!$A$12:$F$128,$P48,5)</f>
        <v>0</v>
      </c>
      <c r="C48" s="71">
        <f>INDEX(Normen!$A$12:$F$128,$P48,6)</f>
        <v>0</v>
      </c>
      <c r="D48" s="237">
        <f t="shared" si="10"/>
        <v>0</v>
      </c>
      <c r="E48" s="64"/>
      <c r="F48" s="64"/>
      <c r="G48" s="71"/>
      <c r="H48" s="71"/>
      <c r="I48" s="71">
        <f t="shared" si="11"/>
        <v>0</v>
      </c>
      <c r="J48" s="71">
        <f t="shared" si="8"/>
        <v>0</v>
      </c>
      <c r="L48" s="54"/>
      <c r="M48" s="53">
        <f t="shared" si="9"/>
        <v>0</v>
      </c>
      <c r="P48" s="57">
        <v>1</v>
      </c>
    </row>
    <row r="49" spans="1:16" ht="12.75">
      <c r="A49" s="63"/>
      <c r="B49" s="71">
        <f>INDEX(Normen!$A$12:$F$128,$P49,5)</f>
        <v>0</v>
      </c>
      <c r="C49" s="71">
        <f>INDEX(Normen!$A$12:$F$128,$P49,6)</f>
        <v>0</v>
      </c>
      <c r="D49" s="237">
        <f t="shared" si="10"/>
        <v>0</v>
      </c>
      <c r="E49" s="64"/>
      <c r="F49" s="64"/>
      <c r="G49" s="71"/>
      <c r="H49" s="71"/>
      <c r="I49" s="71">
        <f t="shared" si="11"/>
        <v>0</v>
      </c>
      <c r="J49" s="71">
        <f t="shared" si="8"/>
        <v>0</v>
      </c>
      <c r="L49" s="54"/>
      <c r="M49" s="53">
        <f t="shared" si="9"/>
        <v>0</v>
      </c>
      <c r="P49" s="57">
        <v>1</v>
      </c>
    </row>
    <row r="50" spans="1:16" ht="12.75">
      <c r="A50" s="63"/>
      <c r="B50" s="71">
        <f>INDEX(Normen!$A$12:$F$128,$P50,5)</f>
        <v>0</v>
      </c>
      <c r="C50" s="71">
        <f>INDEX(Normen!$A$12:$F$128,$P50,6)</f>
        <v>0</v>
      </c>
      <c r="D50" s="237">
        <f t="shared" si="10"/>
        <v>0</v>
      </c>
      <c r="E50" s="64"/>
      <c r="F50" s="64"/>
      <c r="G50" s="71"/>
      <c r="H50" s="71"/>
      <c r="I50" s="71">
        <f t="shared" si="11"/>
        <v>0</v>
      </c>
      <c r="J50" s="71">
        <f t="shared" si="8"/>
        <v>0</v>
      </c>
      <c r="L50" s="54"/>
      <c r="M50" s="53">
        <f t="shared" si="9"/>
        <v>0</v>
      </c>
      <c r="P50" s="57">
        <v>1</v>
      </c>
    </row>
    <row r="51" spans="1:16" ht="12.75">
      <c r="A51" s="65" t="s">
        <v>35</v>
      </c>
      <c r="B51" s="38"/>
      <c r="C51" s="38"/>
      <c r="D51" s="237">
        <f t="shared" si="10"/>
        <v>0</v>
      </c>
      <c r="E51" s="64"/>
      <c r="F51" s="64"/>
      <c r="G51" s="71"/>
      <c r="H51" s="71"/>
      <c r="I51" s="71">
        <f t="shared" si="11"/>
        <v>0</v>
      </c>
      <c r="J51" s="71">
        <f t="shared" si="8"/>
        <v>0</v>
      </c>
      <c r="L51" s="54"/>
      <c r="M51" s="53">
        <f t="shared" si="9"/>
        <v>0</v>
      </c>
      <c r="P51" s="57">
        <v>1</v>
      </c>
    </row>
    <row r="52" spans="1:16" ht="12.75">
      <c r="A52" s="65" t="s">
        <v>35</v>
      </c>
      <c r="B52" s="38"/>
      <c r="C52" s="38"/>
      <c r="D52" s="237">
        <f t="shared" si="10"/>
        <v>0</v>
      </c>
      <c r="E52" s="64"/>
      <c r="F52" s="64"/>
      <c r="G52" s="71"/>
      <c r="H52" s="71"/>
      <c r="I52" s="71">
        <f t="shared" si="11"/>
        <v>0</v>
      </c>
      <c r="J52" s="71">
        <f t="shared" si="8"/>
        <v>0</v>
      </c>
      <c r="L52" s="54"/>
      <c r="M52" s="53">
        <f t="shared" si="9"/>
        <v>0</v>
      </c>
      <c r="P52" s="57">
        <v>1</v>
      </c>
    </row>
    <row r="53" spans="1:16" ht="12.75">
      <c r="A53" s="65" t="s">
        <v>35</v>
      </c>
      <c r="B53" s="38"/>
      <c r="C53" s="38"/>
      <c r="D53" s="237">
        <f t="shared" si="10"/>
        <v>0</v>
      </c>
      <c r="E53" s="64"/>
      <c r="F53" s="64"/>
      <c r="G53" s="71"/>
      <c r="H53" s="71"/>
      <c r="I53" s="71">
        <f t="shared" si="11"/>
        <v>0</v>
      </c>
      <c r="J53" s="71">
        <f t="shared" si="8"/>
        <v>0</v>
      </c>
      <c r="L53" s="54"/>
      <c r="M53" s="53">
        <f t="shared" si="9"/>
        <v>0</v>
      </c>
      <c r="P53" s="57">
        <v>1</v>
      </c>
    </row>
    <row r="54" spans="1:16" ht="12.75">
      <c r="A54" s="227"/>
      <c r="B54" s="162"/>
      <c r="C54" s="162"/>
      <c r="D54" s="238"/>
      <c r="E54" s="227" t="str">
        <f>E36</f>
        <v>Totale omvang van de locatie:</v>
      </c>
      <c r="F54" s="231">
        <f>MAX(F43:F53)</f>
        <v>0</v>
      </c>
      <c r="G54" s="274" t="s">
        <v>68</v>
      </c>
      <c r="H54" s="71"/>
      <c r="I54" s="233">
        <f>SUM(I43:I53)</f>
        <v>0</v>
      </c>
      <c r="J54" s="233"/>
      <c r="M54" s="53"/>
      <c r="P54" s="57"/>
    </row>
    <row r="57" ht="12.75"/>
    <row r="58" ht="12.75"/>
    <row r="59" ht="12.75"/>
    <row r="60" ht="12.75"/>
    <row r="61" ht="12.75"/>
    <row r="62" ht="12.75"/>
    <row r="63" ht="12.75"/>
    <row r="64" ht="12.75"/>
    <row r="65" ht="12.75"/>
    <row r="66" ht="12.75"/>
    <row r="70" ht="12.75"/>
    <row r="71" ht="12.75"/>
    <row r="72" ht="12.75"/>
    <row r="73" ht="12.75"/>
    <row r="74" ht="12.75"/>
    <row r="75" ht="12.75"/>
  </sheetData>
  <sheetProtection sheet="1" scenarios="1"/>
  <printOptions/>
  <pageMargins left="0.5905511811023623" right="0.5905511811023623" top="0.7874015748031497" bottom="0.7874015748031497" header="0.5118110236220472" footer="0.5118110236220472"/>
  <pageSetup fitToHeight="1" fitToWidth="1" horizontalDpi="300" verticalDpi="300" orientation="portrait" paperSize="9" r:id="rId3"/>
  <headerFooter alignWithMargins="0">
    <oddHeader>&amp;C&amp;F</oddHeader>
    <oddFooter>&amp;CMilieuverdienste in RMK</oddFooter>
  </headerFooter>
  <legacyDrawing r:id="rId2"/>
</worksheet>
</file>

<file path=xl/worksheets/sheet3.xml><?xml version="1.0" encoding="utf-8"?>
<worksheet xmlns="http://schemas.openxmlformats.org/spreadsheetml/2006/main" xmlns:r="http://schemas.openxmlformats.org/officeDocument/2006/relationships">
  <sheetPr codeName="Sheet13">
    <pageSetUpPr fitToPage="1"/>
  </sheetPr>
  <dimension ref="A1:N151"/>
  <sheetViews>
    <sheetView showGridLines="0" zoomScale="90" zoomScaleNormal="90" workbookViewId="0" topLeftCell="A1">
      <selection activeCell="A2" sqref="A2"/>
    </sheetView>
  </sheetViews>
  <sheetFormatPr defaultColWidth="9.140625" defaultRowHeight="12.75"/>
  <cols>
    <col min="1" max="1" width="27.7109375" style="56" customWidth="1"/>
    <col min="2" max="2" width="10.28125" style="20" customWidth="1"/>
    <col min="3" max="3" width="9.421875" style="20" customWidth="1"/>
    <col min="4" max="4" width="11.7109375" style="20" customWidth="1"/>
    <col min="5" max="5" width="8.00390625" style="20" customWidth="1"/>
    <col min="6" max="6" width="9.421875" style="20" customWidth="1"/>
    <col min="7" max="7" width="10.140625" style="20" customWidth="1"/>
    <col min="8" max="8" width="10.8515625" style="20" customWidth="1"/>
    <col min="9" max="9" width="0" style="20" hidden="1" customWidth="1"/>
    <col min="10" max="10" width="6.28125" style="52" hidden="1" customWidth="1"/>
    <col min="11" max="12" width="5.140625" style="52" hidden="1" customWidth="1"/>
    <col min="13" max="15" width="8.8515625" style="20" customWidth="1"/>
    <col min="16" max="16" width="13.421875" style="20" customWidth="1"/>
    <col min="17" max="17" width="10.57421875" style="20" customWidth="1"/>
    <col min="18" max="16384" width="8.8515625" style="20" customWidth="1"/>
  </cols>
  <sheetData>
    <row r="1" spans="1:2" ht="18">
      <c r="A1" s="75" t="s">
        <v>264</v>
      </c>
      <c r="B1" s="100" t="s">
        <v>420</v>
      </c>
    </row>
    <row r="2" ht="12.75"/>
    <row r="3" ht="12.75">
      <c r="A3" s="62" t="str">
        <f>Huidig!A3</f>
        <v>Terug naar inhoud:</v>
      </c>
    </row>
    <row r="4" ht="12.75">
      <c r="A4" s="55" t="s">
        <v>42</v>
      </c>
    </row>
    <row r="5" ht="12.75">
      <c r="A5" s="55" t="s">
        <v>20</v>
      </c>
    </row>
    <row r="6" ht="12.75">
      <c r="A6" s="56" t="s">
        <v>320</v>
      </c>
    </row>
    <row r="7" ht="12.75">
      <c r="A7" s="56" t="s">
        <v>321</v>
      </c>
    </row>
    <row r="8" ht="12.75" hidden="1"/>
    <row r="9" ht="12.75" hidden="1"/>
    <row r="10" ht="12.75" hidden="1"/>
    <row r="11" ht="12.75" hidden="1"/>
    <row r="12" ht="12.75" hidden="1"/>
    <row r="13" ht="12.75" hidden="1"/>
    <row r="14" ht="12.75"/>
    <row r="15" ht="12.75">
      <c r="A15" s="55" t="s">
        <v>296</v>
      </c>
    </row>
    <row r="16" ht="12.75">
      <c r="A16" s="56" t="s">
        <v>277</v>
      </c>
    </row>
    <row r="17" ht="12.75"/>
    <row r="18" ht="12.75"/>
    <row r="19" spans="1:12" s="176" customFormat="1" ht="12.75">
      <c r="A19" s="175"/>
      <c r="J19" s="177"/>
      <c r="K19" s="177"/>
      <c r="L19" s="177"/>
    </row>
    <row r="20" spans="1:12" s="76" customFormat="1" ht="12.75">
      <c r="A20" s="166"/>
      <c r="J20" s="167"/>
      <c r="K20" s="167"/>
      <c r="L20" s="167"/>
    </row>
    <row r="21" ht="12.75">
      <c r="A21" s="55" t="str">
        <f>A1</f>
        <v>Nulvariant</v>
      </c>
    </row>
    <row r="22" ht="12.75">
      <c r="A22" s="55" t="str">
        <f>A6</f>
        <v>M1 grondkwaliteit</v>
      </c>
    </row>
    <row r="23" spans="1:12" s="19" customFormat="1" ht="24" customHeight="1">
      <c r="A23" s="170" t="str">
        <f>Huidig!A24</f>
        <v>Verontreinigende stof</v>
      </c>
      <c r="B23" s="132" t="str">
        <f>Huidig!B24</f>
        <v>s' [mg/kg]</v>
      </c>
      <c r="C23" s="132" t="str">
        <f>Huidig!C24</f>
        <v>i' [mg/kg]</v>
      </c>
      <c r="D23" s="132" t="s">
        <v>418</v>
      </c>
      <c r="E23" s="132" t="str">
        <f>Huidig!G24</f>
        <v>lut. [%]</v>
      </c>
      <c r="F23" s="132" t="s">
        <v>43</v>
      </c>
      <c r="G23" s="132" t="str">
        <f>Huidig!I24</f>
        <v>Grond- kubels [m3]</v>
      </c>
      <c r="H23" s="132" t="s">
        <v>329</v>
      </c>
      <c r="J23" s="131" t="str">
        <f>Huidig!L24</f>
        <v>s</v>
      </c>
      <c r="K23" s="131" t="str">
        <f>Huidig!M24</f>
        <v>i</v>
      </c>
      <c r="L23" s="131" t="str">
        <f>Huidig!N24</f>
        <v>t'</v>
      </c>
    </row>
    <row r="24" spans="1:12" ht="12.75">
      <c r="A24" s="165">
        <f>IF(Huidig!$O25&gt;1,INDEX(Normen!$A$12:$C$128,Huidig!$O25,1),"")</f>
      </c>
      <c r="B24" s="69">
        <f aca="true" t="shared" si="0" ref="B24:B34">J24</f>
        <v>0</v>
      </c>
      <c r="C24" s="69">
        <f aca="true" t="shared" si="1" ref="C24:C34">K24</f>
        <v>0</v>
      </c>
      <c r="D24" s="38">
        <f>30*Huidig!D25</f>
        <v>0</v>
      </c>
      <c r="E24" s="68">
        <f>Huidig!G25</f>
        <v>25</v>
      </c>
      <c r="F24" s="68">
        <f>Huidig!S25</f>
        <v>10</v>
      </c>
      <c r="G24" s="71">
        <f>IF(D24&gt;0,1000000*D24/(30*L24),0)</f>
        <v>0</v>
      </c>
      <c r="H24" s="71">
        <f>Huidig!J25-0.0000017*D24/30</f>
        <v>0</v>
      </c>
      <c r="J24" s="77">
        <f>Huidig!B25</f>
        <v>0</v>
      </c>
      <c r="K24" s="77">
        <f>Huidig!C25</f>
        <v>0</v>
      </c>
      <c r="L24" s="77">
        <f>Huidig!N25</f>
        <v>0</v>
      </c>
    </row>
    <row r="25" spans="1:12" ht="12.75">
      <c r="A25" s="165">
        <f>IF(Huidig!$O26&gt;1,INDEX(Normen!$A$12:$C$128,Huidig!$O26,1),"")</f>
      </c>
      <c r="B25" s="69">
        <f t="shared" si="0"/>
        <v>0</v>
      </c>
      <c r="C25" s="69">
        <f t="shared" si="1"/>
        <v>0</v>
      </c>
      <c r="D25" s="38">
        <f>30*Huidig!D26</f>
        <v>0</v>
      </c>
      <c r="E25" s="68">
        <f>Huidig!G26</f>
        <v>25</v>
      </c>
      <c r="F25" s="68">
        <f>Huidig!S26</f>
        <v>10</v>
      </c>
      <c r="G25" s="71">
        <f aca="true" t="shared" si="2" ref="G25:G35">IF(D25&gt;0,1000000*D25/(30*L25),0)</f>
        <v>0</v>
      </c>
      <c r="H25" s="71">
        <f>Huidig!J26-0.0000017*D25/30</f>
        <v>0</v>
      </c>
      <c r="J25" s="77">
        <f>Huidig!B26</f>
        <v>0</v>
      </c>
      <c r="K25" s="77">
        <f>Huidig!C26</f>
        <v>0</v>
      </c>
      <c r="L25" s="77">
        <f>Huidig!N26</f>
        <v>0</v>
      </c>
    </row>
    <row r="26" spans="1:12" ht="12.75">
      <c r="A26" s="165">
        <f>IF(Huidig!$O27&gt;1,INDEX(Normen!$A$12:$C$128,Huidig!$O27,1),"")</f>
      </c>
      <c r="B26" s="69">
        <f t="shared" si="0"/>
        <v>0</v>
      </c>
      <c r="C26" s="69">
        <f t="shared" si="1"/>
        <v>0</v>
      </c>
      <c r="D26" s="38">
        <f>30*Huidig!D27</f>
        <v>0</v>
      </c>
      <c r="E26" s="68">
        <f>Huidig!G27</f>
        <v>25</v>
      </c>
      <c r="F26" s="68">
        <f>Huidig!S27</f>
        <v>10</v>
      </c>
      <c r="G26" s="71">
        <f t="shared" si="2"/>
        <v>0</v>
      </c>
      <c r="H26" s="71">
        <f>Huidig!J27-0.0000017*D26/30</f>
        <v>0</v>
      </c>
      <c r="J26" s="77">
        <f>Huidig!B27</f>
        <v>0</v>
      </c>
      <c r="K26" s="77">
        <f>Huidig!C27</f>
        <v>0</v>
      </c>
      <c r="L26" s="77">
        <f>Huidig!N27</f>
        <v>0</v>
      </c>
    </row>
    <row r="27" spans="1:12" ht="12.75">
      <c r="A27" s="165">
        <f>IF(Huidig!$O28&gt;1,INDEX(Normen!$A$12:$C$128,Huidig!$O28,1),"")</f>
      </c>
      <c r="B27" s="69">
        <f t="shared" si="0"/>
        <v>0</v>
      </c>
      <c r="C27" s="69">
        <f t="shared" si="1"/>
        <v>0</v>
      </c>
      <c r="D27" s="38">
        <f>30*Huidig!D28</f>
        <v>0</v>
      </c>
      <c r="E27" s="68">
        <f>Huidig!G28</f>
        <v>25</v>
      </c>
      <c r="F27" s="68">
        <f>Huidig!S28</f>
        <v>10</v>
      </c>
      <c r="G27" s="71">
        <f t="shared" si="2"/>
        <v>0</v>
      </c>
      <c r="H27" s="71">
        <f>Huidig!J28-0.0000017*D27/30</f>
        <v>0</v>
      </c>
      <c r="J27" s="77">
        <f>Huidig!B28</f>
        <v>0</v>
      </c>
      <c r="K27" s="77">
        <f>Huidig!C28</f>
        <v>0</v>
      </c>
      <c r="L27" s="77">
        <f>Huidig!N28</f>
        <v>0</v>
      </c>
    </row>
    <row r="28" spans="1:12" ht="12.75">
      <c r="A28" s="165">
        <f>IF(Huidig!$O29&gt;1,INDEX(Normen!$A$12:$C$128,Huidig!$O29,1),"")</f>
      </c>
      <c r="B28" s="69">
        <f t="shared" si="0"/>
        <v>0</v>
      </c>
      <c r="C28" s="69">
        <f t="shared" si="1"/>
        <v>0</v>
      </c>
      <c r="D28" s="38">
        <f>30*Huidig!D29</f>
        <v>0</v>
      </c>
      <c r="E28" s="68">
        <f>Huidig!G29</f>
        <v>25</v>
      </c>
      <c r="F28" s="68">
        <f>Huidig!S29</f>
        <v>10</v>
      </c>
      <c r="G28" s="71">
        <f t="shared" si="2"/>
        <v>0</v>
      </c>
      <c r="H28" s="71">
        <f>Huidig!J29-0.0000017*D28/30</f>
        <v>0</v>
      </c>
      <c r="J28" s="77">
        <f>Huidig!B29</f>
        <v>0</v>
      </c>
      <c r="K28" s="77">
        <f>Huidig!C29</f>
        <v>0</v>
      </c>
      <c r="L28" s="77">
        <f>Huidig!N29</f>
        <v>0</v>
      </c>
    </row>
    <row r="29" spans="1:12" ht="12.75">
      <c r="A29" s="165">
        <f>IF(Huidig!$O30&gt;1,INDEX(Normen!$A$12:$C$128,Huidig!$O30,1),"")</f>
      </c>
      <c r="B29" s="69">
        <f t="shared" si="0"/>
        <v>0</v>
      </c>
      <c r="C29" s="69">
        <f t="shared" si="1"/>
        <v>0</v>
      </c>
      <c r="D29" s="38">
        <f>30*Huidig!D30</f>
        <v>0</v>
      </c>
      <c r="E29" s="68">
        <f>Huidig!G30</f>
        <v>25</v>
      </c>
      <c r="F29" s="68">
        <f>Huidig!S30</f>
        <v>10</v>
      </c>
      <c r="G29" s="71">
        <f t="shared" si="2"/>
        <v>0</v>
      </c>
      <c r="H29" s="71">
        <f>Huidig!J30-0.0000017*D29/30</f>
        <v>0</v>
      </c>
      <c r="J29" s="77">
        <f>Huidig!B30</f>
        <v>0</v>
      </c>
      <c r="K29" s="77">
        <f>Huidig!C30</f>
        <v>0</v>
      </c>
      <c r="L29" s="77">
        <f>Huidig!N30</f>
        <v>0</v>
      </c>
    </row>
    <row r="30" spans="1:12" ht="12.75">
      <c r="A30" s="165">
        <f>IF(Huidig!$O31&gt;1,INDEX(Normen!$A$12:$C$128,Huidig!$O31,1),"")</f>
      </c>
      <c r="B30" s="69">
        <f t="shared" si="0"/>
        <v>0</v>
      </c>
      <c r="C30" s="69">
        <f t="shared" si="1"/>
        <v>0</v>
      </c>
      <c r="D30" s="38">
        <f>30*Huidig!D31</f>
        <v>0</v>
      </c>
      <c r="E30" s="68">
        <f>Huidig!G31</f>
        <v>25</v>
      </c>
      <c r="F30" s="68">
        <f>Huidig!S31</f>
        <v>10</v>
      </c>
      <c r="G30" s="71">
        <f t="shared" si="2"/>
        <v>0</v>
      </c>
      <c r="H30" s="71">
        <f>Huidig!J31-0.0000017*D30/30</f>
        <v>0</v>
      </c>
      <c r="J30" s="77">
        <f>Huidig!B31</f>
        <v>0</v>
      </c>
      <c r="K30" s="77">
        <f>Huidig!C31</f>
        <v>0</v>
      </c>
      <c r="L30" s="77">
        <f>Huidig!N31</f>
        <v>0</v>
      </c>
    </row>
    <row r="31" spans="1:12" ht="12.75">
      <c r="A31" s="165">
        <f>IF(Huidig!$O32&gt;1,INDEX(Normen!$A$12:$C$128,Huidig!$O32,1),"")</f>
      </c>
      <c r="B31" s="69">
        <f t="shared" si="0"/>
        <v>0</v>
      </c>
      <c r="C31" s="69">
        <f t="shared" si="1"/>
        <v>0</v>
      </c>
      <c r="D31" s="38">
        <f>30*Huidig!D32</f>
        <v>0</v>
      </c>
      <c r="E31" s="68">
        <f>Huidig!G32</f>
        <v>25</v>
      </c>
      <c r="F31" s="68">
        <f>Huidig!S32</f>
        <v>10</v>
      </c>
      <c r="G31" s="71">
        <f t="shared" si="2"/>
        <v>0</v>
      </c>
      <c r="H31" s="71">
        <f>Huidig!J32-0.0000017*D31/30</f>
        <v>0</v>
      </c>
      <c r="J31" s="77">
        <f>Huidig!B32</f>
        <v>0</v>
      </c>
      <c r="K31" s="77">
        <f>Huidig!C32</f>
        <v>0</v>
      </c>
      <c r="L31" s="77">
        <f>Huidig!N32</f>
        <v>0</v>
      </c>
    </row>
    <row r="32" spans="1:12" ht="12.75">
      <c r="A32" s="165">
        <f>IF(Huidig!A33="Type een verontreiniging:","",Huidig!A33)</f>
      </c>
      <c r="B32" s="69">
        <f t="shared" si="0"/>
        <v>0</v>
      </c>
      <c r="C32" s="69">
        <f t="shared" si="1"/>
        <v>0</v>
      </c>
      <c r="D32" s="38">
        <f>30*Huidig!D33</f>
        <v>0</v>
      </c>
      <c r="E32" s="68"/>
      <c r="F32" s="68"/>
      <c r="G32" s="71">
        <f t="shared" si="2"/>
        <v>0</v>
      </c>
      <c r="H32" s="71">
        <f>Huidig!J33-0.0000017*D32/30</f>
        <v>0</v>
      </c>
      <c r="J32" s="77">
        <f>Huidig!B33</f>
        <v>0</v>
      </c>
      <c r="K32" s="77">
        <f>Huidig!C33</f>
        <v>0</v>
      </c>
      <c r="L32" s="77">
        <f>Huidig!N33</f>
        <v>0</v>
      </c>
    </row>
    <row r="33" spans="1:12" ht="12.75">
      <c r="A33" s="165">
        <f>IF(Huidig!A34="Type een verontreiniging:","",Huidig!A34)</f>
      </c>
      <c r="B33" s="69">
        <f t="shared" si="0"/>
        <v>0</v>
      </c>
      <c r="C33" s="69">
        <f t="shared" si="1"/>
        <v>0</v>
      </c>
      <c r="D33" s="38">
        <f>30*Huidig!D34</f>
        <v>0</v>
      </c>
      <c r="E33" s="68"/>
      <c r="F33" s="68"/>
      <c r="G33" s="71">
        <f t="shared" si="2"/>
        <v>0</v>
      </c>
      <c r="H33" s="71">
        <f>Huidig!J34-0.0000017*D33/30</f>
        <v>0</v>
      </c>
      <c r="J33" s="77">
        <f>Huidig!B34</f>
        <v>0</v>
      </c>
      <c r="K33" s="77">
        <f>Huidig!C34</f>
        <v>0</v>
      </c>
      <c r="L33" s="77">
        <f>Huidig!N34</f>
        <v>0</v>
      </c>
    </row>
    <row r="34" spans="1:12" ht="12.75">
      <c r="A34" s="165">
        <f>IF(Huidig!A35="Type een verontreiniging:","",Huidig!A35)</f>
      </c>
      <c r="B34" s="69">
        <f t="shared" si="0"/>
        <v>0</v>
      </c>
      <c r="C34" s="69">
        <f t="shared" si="1"/>
        <v>0</v>
      </c>
      <c r="D34" s="38">
        <f>30*Huidig!D35</f>
        <v>0</v>
      </c>
      <c r="E34" s="68"/>
      <c r="F34" s="68"/>
      <c r="G34" s="71">
        <f t="shared" si="2"/>
        <v>0</v>
      </c>
      <c r="H34" s="71">
        <f>Huidig!J35-0.0000017*D34/30</f>
        <v>0</v>
      </c>
      <c r="J34" s="77">
        <f>Huidig!B35</f>
        <v>0</v>
      </c>
      <c r="K34" s="77">
        <f>Huidig!C35</f>
        <v>0</v>
      </c>
      <c r="L34" s="77">
        <f>Huidig!N35</f>
        <v>0</v>
      </c>
    </row>
    <row r="35" spans="1:12" ht="12.75">
      <c r="A35" s="136" t="s">
        <v>36</v>
      </c>
      <c r="B35" s="68"/>
      <c r="C35" s="68"/>
      <c r="D35" s="68"/>
      <c r="E35" s="68"/>
      <c r="F35" s="68"/>
      <c r="G35" s="71">
        <f>SUM(G24:G34)</f>
        <v>0</v>
      </c>
      <c r="H35" s="68"/>
      <c r="J35" s="77"/>
      <c r="K35" s="77"/>
      <c r="L35" s="77"/>
    </row>
    <row r="36" spans="1:12" ht="12.75">
      <c r="A36" s="136" t="str">
        <f>A22</f>
        <v>M1 grondkwaliteit</v>
      </c>
      <c r="B36" s="74">
        <f>Huidig!I36-0!G35</f>
        <v>0</v>
      </c>
      <c r="C36" s="68"/>
      <c r="D36" s="68"/>
      <c r="E36" s="68"/>
      <c r="F36" s="68"/>
      <c r="G36" s="68"/>
      <c r="H36" s="68"/>
      <c r="J36" s="77"/>
      <c r="K36" s="77"/>
      <c r="L36" s="77"/>
    </row>
    <row r="37" spans="10:12" ht="12.75">
      <c r="J37" s="77"/>
      <c r="K37" s="77"/>
      <c r="L37" s="77"/>
    </row>
    <row r="38" spans="1:12" ht="12.75">
      <c r="A38" s="20"/>
      <c r="J38" s="77"/>
      <c r="K38" s="77"/>
      <c r="L38" s="77"/>
    </row>
    <row r="39" spans="1:12" ht="12.75">
      <c r="A39" s="55" t="str">
        <f>A1</f>
        <v>Nulvariant</v>
      </c>
      <c r="J39" s="77"/>
      <c r="K39" s="77"/>
      <c r="L39" s="77"/>
    </row>
    <row r="40" spans="1:12" ht="12.75">
      <c r="A40" s="55" t="str">
        <f>A7</f>
        <v>M2 grondwaterkwaliteit</v>
      </c>
      <c r="J40" s="77"/>
      <c r="K40" s="77"/>
      <c r="L40" s="77"/>
    </row>
    <row r="41" spans="1:12" s="19" customFormat="1" ht="38.25" customHeight="1">
      <c r="A41" s="170" t="str">
        <f>Huidig!A42</f>
        <v>Verontreinigende stof</v>
      </c>
      <c r="B41" s="132" t="str">
        <f>Huidig!B42</f>
        <v>s [ug/l]</v>
      </c>
      <c r="C41" s="132" t="str">
        <f>Huidig!C42</f>
        <v>i [ug/l]</v>
      </c>
      <c r="D41" s="132" t="s">
        <v>418</v>
      </c>
      <c r="E41" s="132" t="str">
        <f>Huidig!I42</f>
        <v>Water-kubels [m3]</v>
      </c>
      <c r="J41" s="133" t="str">
        <f>Huidig!M42</f>
        <v>t</v>
      </c>
      <c r="K41" s="134"/>
      <c r="L41" s="78"/>
    </row>
    <row r="42" spans="1:11" ht="12.75">
      <c r="A42" s="165">
        <f>IF(Huidig!$P43&gt;1,INDEX(Normen!$A$12:$C$128,Huidig!$P43,1),"")</f>
      </c>
      <c r="B42" s="68">
        <f>Huidig!B43</f>
        <v>0</v>
      </c>
      <c r="C42" s="68">
        <f>Huidig!C43</f>
        <v>0</v>
      </c>
      <c r="D42" s="38">
        <f>30*Huidig!D43*0.2</f>
        <v>0</v>
      </c>
      <c r="E42" s="68">
        <f>IF(D42&gt;0,1000000000*D42/(30*J42),0)</f>
        <v>0</v>
      </c>
      <c r="F42" s="61"/>
      <c r="J42" s="77">
        <f aca="true" t="shared" si="3" ref="J42:J52">0.5*(B42+C42)</f>
        <v>0</v>
      </c>
      <c r="K42" s="77"/>
    </row>
    <row r="43" spans="1:11" ht="12.75">
      <c r="A43" s="165">
        <f>IF(Huidig!$P44&gt;1,INDEX(Normen!$A$12:$C$128,Huidig!$P44,1),"")</f>
      </c>
      <c r="B43" s="68">
        <f>Huidig!B44</f>
        <v>0</v>
      </c>
      <c r="C43" s="68">
        <f>Huidig!C44</f>
        <v>0</v>
      </c>
      <c r="D43" s="38">
        <f>30*Huidig!D44*0.2</f>
        <v>0</v>
      </c>
      <c r="E43" s="68">
        <f aca="true" t="shared" si="4" ref="E43:E52">IF(D43&gt;0,1000000000*D43/(30*J43),0)</f>
        <v>0</v>
      </c>
      <c r="F43" s="61"/>
      <c r="J43" s="77">
        <f t="shared" si="3"/>
        <v>0</v>
      </c>
      <c r="K43" s="77"/>
    </row>
    <row r="44" spans="1:11" ht="12.75">
      <c r="A44" s="165">
        <f>IF(Huidig!$P45&gt;1,INDEX(Normen!$A$12:$C$128,Huidig!$P45,1),"")</f>
      </c>
      <c r="B44" s="68">
        <f>Huidig!B45</f>
        <v>0</v>
      </c>
      <c r="C44" s="68">
        <f>Huidig!C45</f>
        <v>0</v>
      </c>
      <c r="D44" s="38">
        <f>30*Huidig!D45*0.2</f>
        <v>0</v>
      </c>
      <c r="E44" s="68">
        <f t="shared" si="4"/>
        <v>0</v>
      </c>
      <c r="F44" s="61"/>
      <c r="J44" s="77">
        <f t="shared" si="3"/>
        <v>0</v>
      </c>
      <c r="K44" s="77"/>
    </row>
    <row r="45" spans="1:11" ht="12.75">
      <c r="A45" s="165">
        <f>IF(Huidig!$P46&gt;1,INDEX(Normen!$A$12:$C$128,Huidig!$P46,1),"")</f>
      </c>
      <c r="B45" s="68">
        <f>Huidig!B46</f>
        <v>0</v>
      </c>
      <c r="C45" s="68">
        <f>Huidig!C46</f>
        <v>0</v>
      </c>
      <c r="D45" s="38">
        <f>30*Huidig!D46</f>
        <v>0</v>
      </c>
      <c r="E45" s="68">
        <f t="shared" si="4"/>
        <v>0</v>
      </c>
      <c r="F45" s="61"/>
      <c r="J45" s="77">
        <f t="shared" si="3"/>
        <v>0</v>
      </c>
      <c r="K45" s="77"/>
    </row>
    <row r="46" spans="1:11" ht="12.75">
      <c r="A46" s="165">
        <f>IF(Huidig!$P47&gt;1,INDEX(Normen!$A$12:$C$128,Huidig!$P47,1),"")</f>
      </c>
      <c r="B46" s="68">
        <f>Huidig!B47</f>
        <v>0</v>
      </c>
      <c r="C46" s="68">
        <f>Huidig!C47</f>
        <v>0</v>
      </c>
      <c r="D46" s="38">
        <f>30*Huidig!D47</f>
        <v>0</v>
      </c>
      <c r="E46" s="68">
        <f t="shared" si="4"/>
        <v>0</v>
      </c>
      <c r="F46" s="61"/>
      <c r="J46" s="77">
        <f t="shared" si="3"/>
        <v>0</v>
      </c>
      <c r="K46" s="77"/>
    </row>
    <row r="47" spans="1:11" ht="12.75">
      <c r="A47" s="165">
        <f>IF(Huidig!$P48&gt;1,INDEX(Normen!$A$12:$C$128,Huidig!$P48,1),"")</f>
      </c>
      <c r="B47" s="68">
        <f>Huidig!B48</f>
        <v>0</v>
      </c>
      <c r="C47" s="68">
        <f>Huidig!C48</f>
        <v>0</v>
      </c>
      <c r="D47" s="38">
        <f>30*Huidig!D48</f>
        <v>0</v>
      </c>
      <c r="E47" s="68">
        <f t="shared" si="4"/>
        <v>0</v>
      </c>
      <c r="F47" s="61"/>
      <c r="J47" s="77">
        <f t="shared" si="3"/>
        <v>0</v>
      </c>
      <c r="K47" s="77"/>
    </row>
    <row r="48" spans="1:11" ht="12.75">
      <c r="A48" s="165">
        <f>IF(Huidig!$P49&gt;1,INDEX(Normen!$A$12:$C$128,Huidig!$P49,1),"")</f>
      </c>
      <c r="B48" s="68">
        <f>Huidig!B49</f>
        <v>0</v>
      </c>
      <c r="C48" s="68">
        <f>Huidig!C49</f>
        <v>0</v>
      </c>
      <c r="D48" s="38">
        <f>30*Huidig!D49</f>
        <v>0</v>
      </c>
      <c r="E48" s="68">
        <f t="shared" si="4"/>
        <v>0</v>
      </c>
      <c r="F48" s="61"/>
      <c r="J48" s="77">
        <f t="shared" si="3"/>
        <v>0</v>
      </c>
      <c r="K48" s="77"/>
    </row>
    <row r="49" spans="1:11" ht="12.75">
      <c r="A49" s="165">
        <f>IF(Huidig!$P50&gt;1,INDEX(Normen!$A$12:$C$128,Huidig!$P50,1),"")</f>
      </c>
      <c r="B49" s="68">
        <f>Huidig!B50</f>
        <v>0</v>
      </c>
      <c r="C49" s="68">
        <f>Huidig!C50</f>
        <v>0</v>
      </c>
      <c r="D49" s="38">
        <f>30*Huidig!D50</f>
        <v>0</v>
      </c>
      <c r="E49" s="68">
        <f t="shared" si="4"/>
        <v>0</v>
      </c>
      <c r="F49" s="61"/>
      <c r="J49" s="77">
        <f t="shared" si="3"/>
        <v>0</v>
      </c>
      <c r="K49" s="77"/>
    </row>
    <row r="50" spans="1:11" ht="12.75">
      <c r="A50" s="165">
        <f>IF(Huidig!A51="Type een verontreiniging:","",Huidig!A51)</f>
      </c>
      <c r="B50" s="68">
        <f>Huidig!B51</f>
        <v>0</v>
      </c>
      <c r="C50" s="68">
        <f>Huidig!C51</f>
        <v>0</v>
      </c>
      <c r="D50" s="38">
        <f>30*Huidig!D51</f>
        <v>0</v>
      </c>
      <c r="E50" s="68">
        <f t="shared" si="4"/>
        <v>0</v>
      </c>
      <c r="F50" s="61"/>
      <c r="J50" s="77">
        <f t="shared" si="3"/>
        <v>0</v>
      </c>
      <c r="K50" s="77"/>
    </row>
    <row r="51" spans="1:11" ht="12.75">
      <c r="A51" s="165">
        <f>IF(Huidig!A52="Type een verontreiniging:","",Huidig!A52)</f>
      </c>
      <c r="B51" s="68">
        <f>Huidig!B52</f>
        <v>0</v>
      </c>
      <c r="C51" s="68">
        <f>Huidig!C52</f>
        <v>0</v>
      </c>
      <c r="D51" s="38">
        <f>30*Huidig!D52</f>
        <v>0</v>
      </c>
      <c r="E51" s="68">
        <f t="shared" si="4"/>
        <v>0</v>
      </c>
      <c r="F51" s="61"/>
      <c r="J51" s="77">
        <f t="shared" si="3"/>
        <v>0</v>
      </c>
      <c r="K51" s="77"/>
    </row>
    <row r="52" spans="1:11" ht="12.75">
      <c r="A52" s="165">
        <f>IF(Huidig!A53="Type een verontreiniging:","",Huidig!A53)</f>
      </c>
      <c r="B52" s="68">
        <f>Huidig!B53</f>
        <v>0</v>
      </c>
      <c r="C52" s="68">
        <f>Huidig!C53</f>
        <v>0</v>
      </c>
      <c r="D52" s="38">
        <f>30*Huidig!D53</f>
        <v>0</v>
      </c>
      <c r="E52" s="68">
        <f t="shared" si="4"/>
        <v>0</v>
      </c>
      <c r="F52" s="61"/>
      <c r="J52" s="77">
        <f t="shared" si="3"/>
        <v>0</v>
      </c>
      <c r="K52" s="77"/>
    </row>
    <row r="53" spans="1:12" ht="12.75">
      <c r="A53" s="136" t="s">
        <v>36</v>
      </c>
      <c r="B53" s="68"/>
      <c r="C53" s="68"/>
      <c r="D53" s="68"/>
      <c r="E53" s="84">
        <f>SUM(E42:E52)</f>
        <v>0</v>
      </c>
      <c r="J53" s="77"/>
      <c r="K53" s="77"/>
      <c r="L53" s="77"/>
    </row>
    <row r="54" spans="1:12" ht="12.75">
      <c r="A54" s="136" t="str">
        <f>A40</f>
        <v>M2 grondwaterkwaliteit</v>
      </c>
      <c r="B54" s="74">
        <f>Huidig!I54-0!E53</f>
        <v>0</v>
      </c>
      <c r="C54" s="68"/>
      <c r="D54" s="68"/>
      <c r="E54" s="68"/>
      <c r="J54" s="77"/>
      <c r="K54" s="77"/>
      <c r="L54" s="77"/>
    </row>
    <row r="55" spans="10:12" ht="12.75">
      <c r="J55" s="77"/>
      <c r="K55" s="77"/>
      <c r="L55" s="77"/>
    </row>
    <row r="56" ht="12.75">
      <c r="A56" s="20"/>
    </row>
    <row r="57" ht="12.75" hidden="1">
      <c r="A57" s="55" t="str">
        <f>A1</f>
        <v>Nulvariant</v>
      </c>
    </row>
    <row r="58" ht="12.75" hidden="1">
      <c r="A58" s="55">
        <f>A8</f>
        <v>0</v>
      </c>
    </row>
    <row r="59" spans="1:3" ht="12.75" hidden="1">
      <c r="A59" s="165" t="s">
        <v>44</v>
      </c>
      <c r="B59" s="38"/>
      <c r="C59" s="54"/>
    </row>
    <row r="60" spans="1:3" ht="12.75" hidden="1">
      <c r="A60" s="165" t="s">
        <v>45</v>
      </c>
      <c r="B60" s="38"/>
      <c r="C60" s="54"/>
    </row>
    <row r="61" spans="1:3" ht="12.75" hidden="1">
      <c r="A61" s="165"/>
      <c r="B61" s="68"/>
      <c r="C61" s="54"/>
    </row>
    <row r="62" spans="1:2" ht="12.75" hidden="1">
      <c r="A62" s="174">
        <f>A58</f>
        <v>0</v>
      </c>
      <c r="B62" s="74">
        <f>B59-B60</f>
        <v>0</v>
      </c>
    </row>
    <row r="63" ht="12.75" hidden="1"/>
    <row r="64" ht="12.75" hidden="1">
      <c r="A64" s="20"/>
    </row>
    <row r="65" ht="12.75" hidden="1">
      <c r="A65" s="55" t="str">
        <f>A1</f>
        <v>Nulvariant</v>
      </c>
    </row>
    <row r="66" ht="12.75" hidden="1">
      <c r="A66" s="55">
        <f>A9</f>
        <v>0</v>
      </c>
    </row>
    <row r="67" spans="1:3" ht="12.75" hidden="1">
      <c r="A67" s="165" t="s">
        <v>46</v>
      </c>
      <c r="B67" s="38"/>
      <c r="C67" s="54"/>
    </row>
    <row r="68" spans="1:3" ht="12.75" hidden="1">
      <c r="A68" s="165" t="s">
        <v>47</v>
      </c>
      <c r="B68" s="38"/>
      <c r="C68" s="54"/>
    </row>
    <row r="69" spans="1:3" ht="12.75" hidden="1">
      <c r="A69" s="165"/>
      <c r="B69" s="68"/>
      <c r="C69" s="54"/>
    </row>
    <row r="70" spans="1:2" ht="12.75" hidden="1">
      <c r="A70" s="136">
        <f>A66</f>
        <v>0</v>
      </c>
      <c r="B70" s="74">
        <f>B67-B68</f>
        <v>0</v>
      </c>
    </row>
    <row r="71" ht="12.75" hidden="1"/>
    <row r="72" ht="12.75" hidden="1">
      <c r="A72" s="20"/>
    </row>
    <row r="73" ht="12.75" hidden="1">
      <c r="A73" s="55" t="str">
        <f>A1</f>
        <v>Nulvariant</v>
      </c>
    </row>
    <row r="74" ht="12.75" hidden="1">
      <c r="A74" s="55">
        <f>A10</f>
        <v>0</v>
      </c>
    </row>
    <row r="75" spans="1:12" s="94" customFormat="1" ht="26.25" hidden="1">
      <c r="A75" s="172" t="s">
        <v>48</v>
      </c>
      <c r="B75" s="96" t="s">
        <v>49</v>
      </c>
      <c r="C75" s="97" t="s">
        <v>325</v>
      </c>
      <c r="D75" s="98" t="s">
        <v>275</v>
      </c>
      <c r="E75" s="99" t="s">
        <v>50</v>
      </c>
      <c r="F75" s="96" t="s">
        <v>51</v>
      </c>
      <c r="G75" s="96" t="s">
        <v>52</v>
      </c>
      <c r="H75" s="96" t="s">
        <v>53</v>
      </c>
      <c r="J75" s="95"/>
      <c r="K75" s="95"/>
      <c r="L75" s="95"/>
    </row>
    <row r="76" spans="1:8" ht="12.75" hidden="1">
      <c r="A76" s="135"/>
      <c r="B76" s="68" t="s">
        <v>54</v>
      </c>
      <c r="C76" s="90"/>
      <c r="D76" s="86"/>
      <c r="E76" s="88"/>
      <c r="F76" s="68"/>
      <c r="G76" s="68"/>
      <c r="H76" s="68"/>
    </row>
    <row r="77" spans="1:8" ht="12.75" hidden="1">
      <c r="A77" s="135" t="s">
        <v>371</v>
      </c>
      <c r="B77" s="68" t="s">
        <v>55</v>
      </c>
      <c r="C77" s="91"/>
      <c r="D77" s="239"/>
      <c r="E77" s="89">
        <v>35</v>
      </c>
      <c r="F77" s="68" t="s">
        <v>56</v>
      </c>
      <c r="G77" s="68">
        <f>C77*E77</f>
        <v>0</v>
      </c>
      <c r="H77" s="68"/>
    </row>
    <row r="78" spans="1:8" ht="12.75" hidden="1">
      <c r="A78" s="135" t="s">
        <v>372</v>
      </c>
      <c r="B78" s="68" t="s">
        <v>55</v>
      </c>
      <c r="C78" s="39"/>
      <c r="D78" s="239"/>
      <c r="E78" s="89">
        <v>0.7</v>
      </c>
      <c r="F78" s="68" t="s">
        <v>57</v>
      </c>
      <c r="G78" s="68">
        <f>C78*E78*C79</f>
        <v>0</v>
      </c>
      <c r="H78" s="68"/>
    </row>
    <row r="79" spans="1:8" ht="12.75" hidden="1">
      <c r="A79" s="173" t="s">
        <v>58</v>
      </c>
      <c r="B79" s="85" t="s">
        <v>59</v>
      </c>
      <c r="C79" s="40"/>
      <c r="D79" s="239"/>
      <c r="E79" s="240" t="s">
        <v>54</v>
      </c>
      <c r="F79" s="68"/>
      <c r="G79" s="68" t="s">
        <v>54</v>
      </c>
      <c r="H79" s="68"/>
    </row>
    <row r="80" spans="1:8" ht="12.75" hidden="1">
      <c r="A80" s="135" t="s">
        <v>373</v>
      </c>
      <c r="B80" s="68" t="s">
        <v>55</v>
      </c>
      <c r="C80" s="39"/>
      <c r="D80" s="239"/>
      <c r="E80" s="89">
        <v>0.7</v>
      </c>
      <c r="F80" s="68" t="s">
        <v>57</v>
      </c>
      <c r="G80" s="68">
        <f>C80*E80*C81</f>
        <v>0</v>
      </c>
      <c r="H80" s="68"/>
    </row>
    <row r="81" spans="1:8" ht="12.75" hidden="1">
      <c r="A81" s="173" t="s">
        <v>60</v>
      </c>
      <c r="B81" s="85" t="s">
        <v>59</v>
      </c>
      <c r="C81" s="40"/>
      <c r="D81" s="239"/>
      <c r="E81" s="240" t="s">
        <v>54</v>
      </c>
      <c r="F81" s="68"/>
      <c r="G81" s="68" t="s">
        <v>54</v>
      </c>
      <c r="H81" s="68"/>
    </row>
    <row r="82" spans="1:8" ht="12.75" hidden="1">
      <c r="A82" s="135" t="s">
        <v>374</v>
      </c>
      <c r="B82" s="68" t="s">
        <v>61</v>
      </c>
      <c r="C82" s="241"/>
      <c r="D82" s="87"/>
      <c r="E82" s="89">
        <v>40</v>
      </c>
      <c r="F82" s="68" t="s">
        <v>56</v>
      </c>
      <c r="G82" s="68"/>
      <c r="H82" s="68">
        <f>E82*D82</f>
        <v>0</v>
      </c>
    </row>
    <row r="83" spans="1:8" ht="12.75" hidden="1">
      <c r="A83" s="135" t="s">
        <v>375</v>
      </c>
      <c r="B83" s="68" t="s">
        <v>61</v>
      </c>
      <c r="C83" s="241"/>
      <c r="D83" s="87"/>
      <c r="E83" s="89">
        <v>120</v>
      </c>
      <c r="F83" s="68" t="s">
        <v>56</v>
      </c>
      <c r="G83" s="68"/>
      <c r="H83" s="68">
        <f>E83*D83</f>
        <v>0</v>
      </c>
    </row>
    <row r="84" spans="1:8" ht="12.75" hidden="1">
      <c r="A84" s="135" t="s">
        <v>376</v>
      </c>
      <c r="B84" s="68" t="s">
        <v>61</v>
      </c>
      <c r="C84" s="241"/>
      <c r="D84" s="87"/>
      <c r="E84" s="89">
        <v>600</v>
      </c>
      <c r="F84" s="68" t="s">
        <v>56</v>
      </c>
      <c r="G84" s="68"/>
      <c r="H84" s="68">
        <f>E84*D84</f>
        <v>0</v>
      </c>
    </row>
    <row r="85" spans="1:8" ht="12.75" hidden="1">
      <c r="A85" s="135" t="s">
        <v>377</v>
      </c>
      <c r="B85" s="68" t="s">
        <v>61</v>
      </c>
      <c r="C85" s="241"/>
      <c r="D85" s="87"/>
      <c r="E85" s="89"/>
      <c r="F85" s="68" t="s">
        <v>56</v>
      </c>
      <c r="G85" s="68"/>
      <c r="H85" s="68">
        <f>E85*D85</f>
        <v>0</v>
      </c>
    </row>
    <row r="86" spans="1:8" ht="12.75" hidden="1">
      <c r="A86" s="135" t="s">
        <v>378</v>
      </c>
      <c r="B86" s="68" t="s">
        <v>62</v>
      </c>
      <c r="C86" s="241"/>
      <c r="D86" s="39"/>
      <c r="E86" s="89">
        <v>0.05</v>
      </c>
      <c r="F86" s="68" t="s">
        <v>63</v>
      </c>
      <c r="G86" s="68"/>
      <c r="H86" s="68">
        <f>IF($D$87&gt;0,D86*$E86*$D$87,D86*$E86*2)</f>
        <v>0</v>
      </c>
    </row>
    <row r="87" spans="1:8" ht="12.75" hidden="1">
      <c r="A87" s="173" t="s">
        <v>64</v>
      </c>
      <c r="B87" s="68" t="s">
        <v>65</v>
      </c>
      <c r="C87" s="241"/>
      <c r="D87" s="40"/>
      <c r="E87" s="240"/>
      <c r="F87" s="68"/>
      <c r="G87" s="68"/>
      <c r="H87" s="68"/>
    </row>
    <row r="88" spans="1:8" ht="12.75" hidden="1">
      <c r="A88" s="135" t="s">
        <v>379</v>
      </c>
      <c r="B88" s="68" t="s">
        <v>66</v>
      </c>
      <c r="C88" s="39"/>
      <c r="D88" s="239"/>
      <c r="E88" s="89"/>
      <c r="F88" s="68" t="s">
        <v>63</v>
      </c>
      <c r="G88" s="68">
        <f>IF($C$89&gt;0,IF(E88&gt;0,C88*$E88*$C$89,C88*0.02*$C$89),IF(E88&gt;0,C88*$E88*2,C88*2*0.02))</f>
        <v>0</v>
      </c>
      <c r="H88" s="68"/>
    </row>
    <row r="89" spans="1:8" ht="12.75" hidden="1">
      <c r="A89" s="173" t="s">
        <v>64</v>
      </c>
      <c r="B89" s="68" t="s">
        <v>67</v>
      </c>
      <c r="C89" s="40"/>
      <c r="D89" s="239"/>
      <c r="E89" s="240" t="s">
        <v>54</v>
      </c>
      <c r="F89" s="68" t="s">
        <v>54</v>
      </c>
      <c r="G89" s="68" t="s">
        <v>54</v>
      </c>
      <c r="H89" s="68"/>
    </row>
    <row r="90" spans="1:8" ht="12.75" hidden="1">
      <c r="A90" s="135" t="s">
        <v>380</v>
      </c>
      <c r="B90" s="68" t="s">
        <v>62</v>
      </c>
      <c r="C90" s="241"/>
      <c r="D90" s="87"/>
      <c r="E90" s="89">
        <v>0.35</v>
      </c>
      <c r="F90" s="68" t="s">
        <v>68</v>
      </c>
      <c r="G90" s="68"/>
      <c r="H90" s="68">
        <f>E90*D90</f>
        <v>0</v>
      </c>
    </row>
    <row r="91" spans="1:8" ht="12.75" hidden="1">
      <c r="A91" s="135" t="s">
        <v>381</v>
      </c>
      <c r="B91" s="68" t="s">
        <v>62</v>
      </c>
      <c r="C91" s="241"/>
      <c r="D91" s="87"/>
      <c r="E91" s="89">
        <v>1.2</v>
      </c>
      <c r="F91" s="68" t="s">
        <v>68</v>
      </c>
      <c r="G91" s="68"/>
      <c r="H91" s="68">
        <f>E91*D91</f>
        <v>0</v>
      </c>
    </row>
    <row r="92" spans="1:8" ht="12.75" hidden="1">
      <c r="A92" s="135" t="s">
        <v>326</v>
      </c>
      <c r="B92" s="162" t="s">
        <v>327</v>
      </c>
      <c r="C92" s="163"/>
      <c r="D92" s="239"/>
      <c r="E92" s="89">
        <f>1000*0.03165</f>
        <v>31.65</v>
      </c>
      <c r="F92" s="68" t="s">
        <v>68</v>
      </c>
      <c r="G92" s="68"/>
      <c r="H92" s="69">
        <f>C92*E92</f>
        <v>0</v>
      </c>
    </row>
    <row r="93" spans="1:8" ht="12.75" hidden="1">
      <c r="A93" s="165" t="s">
        <v>69</v>
      </c>
      <c r="B93" s="68" t="s">
        <v>56</v>
      </c>
      <c r="C93" s="91"/>
      <c r="D93" s="239"/>
      <c r="E93" s="89">
        <v>35</v>
      </c>
      <c r="F93" s="68" t="s">
        <v>56</v>
      </c>
      <c r="G93" s="68">
        <f>E93*C93</f>
        <v>0</v>
      </c>
      <c r="H93" s="68"/>
    </row>
    <row r="94" spans="1:8" ht="12.75" hidden="1">
      <c r="A94" s="165" t="s">
        <v>70</v>
      </c>
      <c r="B94" s="85" t="s">
        <v>71</v>
      </c>
      <c r="C94" s="241"/>
      <c r="D94" s="87"/>
      <c r="E94" s="240"/>
      <c r="F94" s="68" t="s">
        <v>54</v>
      </c>
      <c r="G94" s="68"/>
      <c r="H94" s="68">
        <f>D94</f>
        <v>0</v>
      </c>
    </row>
    <row r="95" spans="1:8" ht="12.75" hidden="1">
      <c r="A95" s="136" t="s">
        <v>72</v>
      </c>
      <c r="B95" s="67"/>
      <c r="C95" s="68"/>
      <c r="D95" s="68"/>
      <c r="E95" s="68"/>
      <c r="F95" s="68" t="s">
        <v>54</v>
      </c>
      <c r="G95" s="68">
        <f>SUM(G77:G94)</f>
        <v>0</v>
      </c>
      <c r="H95" s="68">
        <f>SUM(H77:H94)</f>
        <v>0</v>
      </c>
    </row>
    <row r="96" spans="1:8" ht="12.75" hidden="1">
      <c r="A96" s="135"/>
      <c r="B96" s="68"/>
      <c r="C96" s="68"/>
      <c r="D96" s="68"/>
      <c r="E96" s="68"/>
      <c r="F96" s="68"/>
      <c r="G96" s="68"/>
      <c r="H96" s="68"/>
    </row>
    <row r="97" spans="1:8" ht="12.75" hidden="1">
      <c r="A97" s="165"/>
      <c r="B97" s="67"/>
      <c r="C97" s="68"/>
      <c r="D97" s="68"/>
      <c r="E97" s="68"/>
      <c r="F97" s="68"/>
      <c r="G97" s="68"/>
      <c r="H97" s="68"/>
    </row>
    <row r="98" spans="1:8" ht="12.75" hidden="1">
      <c r="A98" s="136" t="s">
        <v>318</v>
      </c>
      <c r="B98" s="74">
        <f>0.001*(G95+H95)/200</f>
        <v>0</v>
      </c>
      <c r="C98" s="68" t="s">
        <v>74</v>
      </c>
      <c r="D98" s="68"/>
      <c r="E98" s="69"/>
      <c r="F98" s="68"/>
      <c r="G98" s="68"/>
      <c r="H98" s="68"/>
    </row>
    <row r="99" spans="1:8" ht="12.75" hidden="1">
      <c r="A99" s="73" t="s">
        <v>319</v>
      </c>
      <c r="B99" s="74">
        <f>0.001*(0.0219*H95+0.0074*G95)</f>
        <v>0</v>
      </c>
      <c r="C99" s="68" t="s">
        <v>74</v>
      </c>
      <c r="D99" s="68"/>
      <c r="E99" s="68"/>
      <c r="F99" s="68"/>
      <c r="G99" s="68"/>
      <c r="H99" s="68"/>
    </row>
    <row r="100" ht="12.75" hidden="1"/>
    <row r="101" ht="12.75" hidden="1">
      <c r="A101" s="20"/>
    </row>
    <row r="102" ht="12.75" hidden="1">
      <c r="A102" s="55" t="str">
        <f>A1</f>
        <v>Nulvariant</v>
      </c>
    </row>
    <row r="103" ht="12.75" hidden="1">
      <c r="A103" s="55">
        <f>A11</f>
        <v>0</v>
      </c>
    </row>
    <row r="104" spans="1:12" s="19" customFormat="1" ht="52.5" hidden="1">
      <c r="A104" s="170" t="str">
        <f>A41</f>
        <v>Verontreinigende stof</v>
      </c>
      <c r="B104" s="132" t="s">
        <v>394</v>
      </c>
      <c r="C104" s="132" t="s">
        <v>39</v>
      </c>
      <c r="D104" s="132" t="s">
        <v>24</v>
      </c>
      <c r="E104" s="132" t="s">
        <v>361</v>
      </c>
      <c r="J104" s="78"/>
      <c r="K104" s="78"/>
      <c r="L104" s="78"/>
    </row>
    <row r="105" spans="1:10" ht="12.75" hidden="1">
      <c r="A105" s="171"/>
      <c r="B105" s="205">
        <f>IF(INDEX(Normen!$A$12:$I$128,J105,9)&lt;&gt;"NB",0.5*(INDEX(Normen!$A$12:$I$128,J105,8)+INDEX(Normen!$A$12:$I$128,J105,9)),"NB")</f>
        <v>0</v>
      </c>
      <c r="C105" s="38"/>
      <c r="D105" s="38"/>
      <c r="E105" s="68">
        <f>IF(AND(B105&lt;&gt;"NB",B105&gt;0,C105&gt;INDEX(Normen!$A$12:$I$128,J105,8)),(C105-INDEX(Normen!$A$12:$I$128,J105,8))*D105/B105,0)</f>
        <v>0</v>
      </c>
      <c r="J105" s="242">
        <v>1</v>
      </c>
    </row>
    <row r="106" spans="1:10" ht="12.75" hidden="1">
      <c r="A106" s="171"/>
      <c r="B106" s="205">
        <f>IF(INDEX(Normen!$A$12:$I$128,J106,9)&lt;&gt;"NB",0.5*(INDEX(Normen!$A$12:$I$128,J106,8)+INDEX(Normen!$A$12:$I$128,J106,9)),"NB")</f>
        <v>0</v>
      </c>
      <c r="C106" s="38"/>
      <c r="D106" s="38"/>
      <c r="E106" s="68">
        <f>IF(AND(B106&lt;&gt;"NB",B106&gt;0,C106&gt;INDEX(Normen!$A$12:$I$128,J106,8)),(C106-INDEX(Normen!$A$12:$I$128,J106,8))*D106/B106,0)</f>
        <v>0</v>
      </c>
      <c r="J106" s="242">
        <v>1</v>
      </c>
    </row>
    <row r="107" spans="1:10" ht="12.75" hidden="1">
      <c r="A107" s="171"/>
      <c r="B107" s="205">
        <f>IF(INDEX(Normen!$A$12:$I$128,J107,9)&lt;&gt;"NB",0.5*(INDEX(Normen!$A$12:$I$128,J107,8)+INDEX(Normen!$A$12:$I$128,J107,9)),"NB")</f>
        <v>0</v>
      </c>
      <c r="C107" s="38"/>
      <c r="D107" s="38"/>
      <c r="E107" s="68">
        <f>IF(AND(B107&lt;&gt;"NB",B107&gt;0,C107&gt;INDEX(Normen!$A$12:$I$128,J107,8)),(C107-INDEX(Normen!$A$12:$I$128,J107,8))*D107/B107,0)</f>
        <v>0</v>
      </c>
      <c r="J107" s="242">
        <v>1</v>
      </c>
    </row>
    <row r="108" spans="1:10" ht="12.75" hidden="1">
      <c r="A108" s="171"/>
      <c r="B108" s="205">
        <f>IF(INDEX(Normen!$A$12:$I$128,J108,9)&lt;&gt;"NB",0.5*(INDEX(Normen!$A$12:$I$128,J108,8)+INDEX(Normen!$A$12:$I$128,J108,9)),"NB")</f>
        <v>0</v>
      </c>
      <c r="C108" s="38"/>
      <c r="D108" s="38"/>
      <c r="E108" s="68">
        <f>IF(AND(B108&lt;&gt;"NB",B108&gt;0,C108&gt;INDEX(Normen!$A$12:$I$128,J108,8)),(C108-INDEX(Normen!$A$12:$I$128,J108,8))*D108/B108,0)</f>
        <v>0</v>
      </c>
      <c r="J108" s="242">
        <v>1</v>
      </c>
    </row>
    <row r="109" spans="1:10" ht="12.75" hidden="1">
      <c r="A109" s="171"/>
      <c r="B109" s="205">
        <f>IF(INDEX(Normen!$A$12:$I$128,J109,9)&lt;&gt;"NB",0.5*(INDEX(Normen!$A$12:$I$128,J109,8)+INDEX(Normen!$A$12:$I$128,J109,9)),"NB")</f>
        <v>0</v>
      </c>
      <c r="C109" s="38"/>
      <c r="D109" s="38"/>
      <c r="E109" s="68">
        <f>IF(AND(B109&lt;&gt;"NB",B109&gt;0,C109&gt;INDEX(Normen!$A$12:$I$128,J109,8)),(C109-INDEX(Normen!$A$12:$I$128,J109,8))*D109/B109,0)</f>
        <v>0</v>
      </c>
      <c r="J109" s="242">
        <v>1</v>
      </c>
    </row>
    <row r="110" spans="1:10" ht="12.75" hidden="1">
      <c r="A110" s="171"/>
      <c r="B110" s="205">
        <f>IF(INDEX(Normen!$A$12:$I$128,J110,9)&lt;&gt;"NB",0.5*(INDEX(Normen!$A$12:$I$128,J110,8)+INDEX(Normen!$A$12:$I$128,J110,9)),"NB")</f>
        <v>0</v>
      </c>
      <c r="C110" s="38"/>
      <c r="D110" s="38"/>
      <c r="E110" s="68">
        <f>IF(AND(B110&lt;&gt;"NB",B110&gt;0,C110&gt;INDEX(Normen!$A$12:$I$128,J110,8)),(C110-INDEX(Normen!$A$12:$I$128,J110,8))*D110/B110,0)</f>
        <v>0</v>
      </c>
      <c r="J110" s="242">
        <v>1</v>
      </c>
    </row>
    <row r="111" spans="1:10" ht="12.75" hidden="1">
      <c r="A111" s="171"/>
      <c r="B111" s="205">
        <f>IF(INDEX(Normen!$A$12:$I$128,J111,9)&lt;&gt;"NB",0.5*(INDEX(Normen!$A$12:$I$128,J111,8)+INDEX(Normen!$A$12:$I$128,J111,9)),"NB")</f>
        <v>0</v>
      </c>
      <c r="C111" s="38"/>
      <c r="D111" s="38"/>
      <c r="E111" s="68">
        <f>IF(AND(B111&lt;&gt;"NB",B111&gt;0,C111&gt;INDEX(Normen!$A$12:$I$128,J111,8)),(C111-INDEX(Normen!$A$12:$I$128,J111,8))*D111/B111,0)</f>
        <v>0</v>
      </c>
      <c r="J111" s="242">
        <v>1</v>
      </c>
    </row>
    <row r="112" spans="1:5" ht="12.75" hidden="1">
      <c r="A112" s="171"/>
      <c r="B112" s="205"/>
      <c r="C112" s="38"/>
      <c r="D112" s="38"/>
      <c r="E112" s="68">
        <f>IF(AND(B112&lt;&gt;"NB",B112&gt;0,C112&gt;INDEX(Normen!$A$12:$I$128,J112,8)),(C112-INDEX(Normen!$A$12:$I$128,J112,8))*D112/B112,0)</f>
        <v>0</v>
      </c>
    </row>
    <row r="113" spans="1:5" ht="12.75" hidden="1">
      <c r="A113" s="171"/>
      <c r="B113" s="205"/>
      <c r="C113" s="38"/>
      <c r="D113" s="38"/>
      <c r="E113" s="68">
        <f>IF(AND(B113&lt;&gt;"NB",B113&gt;0,C113&gt;INDEX(Normen!$A$12:$I$128,J113,8)),(C113-INDEX(Normen!$A$12:$I$128,J113,8))*D113/B113,0)</f>
        <v>0</v>
      </c>
    </row>
    <row r="114" spans="1:5" ht="12.75" hidden="1">
      <c r="A114" s="171"/>
      <c r="B114" s="205"/>
      <c r="C114" s="38"/>
      <c r="D114" s="38"/>
      <c r="E114" s="68">
        <f>IF(AND(B114&lt;&gt;"NB",B114&gt;0,C114&gt;INDEX(Normen!$A$12:$I$128,J114,8)),(C114-INDEX(Normen!$A$12:$I$128,J114,8))*D114/B114,0)</f>
        <v>0</v>
      </c>
    </row>
    <row r="115" spans="1:5" ht="12.75" hidden="1">
      <c r="A115" s="171"/>
      <c r="B115" s="205"/>
      <c r="C115" s="38"/>
      <c r="D115" s="38"/>
      <c r="E115" s="68">
        <f>IF(AND(B115&lt;&gt;"NB",B115&gt;0,C115&gt;INDEX(Normen!$A$12:$I$128,J115,8)),(C115-INDEX(Normen!$A$12:$I$128,J115,8))*D115/B115,0)</f>
        <v>0</v>
      </c>
    </row>
    <row r="116" spans="1:5" ht="12.75" hidden="1">
      <c r="A116" s="165"/>
      <c r="B116" s="68"/>
      <c r="C116" s="68"/>
      <c r="D116" s="68"/>
      <c r="E116" s="68"/>
    </row>
    <row r="117" spans="1:5" ht="12.75" hidden="1">
      <c r="A117" s="136">
        <f>A103</f>
        <v>0</v>
      </c>
      <c r="B117" s="74">
        <f>SUM(E105:E114)</f>
        <v>0</v>
      </c>
      <c r="C117" s="68"/>
      <c r="D117" s="68"/>
      <c r="E117" s="68"/>
    </row>
    <row r="118" ht="12.75" hidden="1"/>
    <row r="119" ht="12.75" hidden="1">
      <c r="A119" s="20"/>
    </row>
    <row r="120" ht="12.75" hidden="1">
      <c r="A120" s="55" t="str">
        <f>A1</f>
        <v>Nulvariant</v>
      </c>
    </row>
    <row r="121" ht="12.75" hidden="1">
      <c r="A121" s="55">
        <f>A12</f>
        <v>0</v>
      </c>
    </row>
    <row r="122" spans="1:2" ht="12.75" hidden="1">
      <c r="A122" s="165" t="s">
        <v>75</v>
      </c>
      <c r="B122" s="38"/>
    </row>
    <row r="123" spans="1:2" ht="12.75" hidden="1">
      <c r="A123" s="165" t="s">
        <v>76</v>
      </c>
      <c r="B123" s="38"/>
    </row>
    <row r="124" spans="1:2" ht="12.75" hidden="1">
      <c r="A124" s="165" t="s">
        <v>77</v>
      </c>
      <c r="B124" s="38"/>
    </row>
    <row r="125" spans="1:2" ht="12.75" hidden="1">
      <c r="A125" s="165"/>
      <c r="B125" s="71"/>
    </row>
    <row r="126" spans="1:2" ht="12.75" hidden="1">
      <c r="A126" s="165"/>
      <c r="B126" s="71"/>
    </row>
    <row r="127" spans="1:2" ht="12.75" hidden="1">
      <c r="A127" s="136">
        <f>A121</f>
        <v>0</v>
      </c>
      <c r="B127" s="74">
        <f>SUM(B122:B124)</f>
        <v>0</v>
      </c>
    </row>
    <row r="128" ht="12.75" hidden="1"/>
    <row r="129" ht="12.75" hidden="1">
      <c r="A129" s="20"/>
    </row>
    <row r="130" ht="12.75" hidden="1">
      <c r="A130" s="55" t="str">
        <f>A1</f>
        <v>Nulvariant</v>
      </c>
    </row>
    <row r="131" ht="12.75" hidden="1">
      <c r="A131" s="55">
        <f>A13</f>
        <v>0</v>
      </c>
    </row>
    <row r="132" spans="1:6" ht="12.75" hidden="1">
      <c r="A132" s="169"/>
      <c r="B132" s="168" t="s">
        <v>78</v>
      </c>
      <c r="C132" s="168" t="s">
        <v>79</v>
      </c>
      <c r="D132" s="168" t="s">
        <v>80</v>
      </c>
      <c r="E132" s="168" t="s">
        <v>81</v>
      </c>
      <c r="F132" s="168" t="s">
        <v>82</v>
      </c>
    </row>
    <row r="133" spans="1:6" ht="12.75" hidden="1">
      <c r="A133" s="165" t="s">
        <v>83</v>
      </c>
      <c r="B133" s="38"/>
      <c r="C133" s="38"/>
      <c r="D133" s="38"/>
      <c r="E133" s="38"/>
      <c r="F133" s="38"/>
    </row>
    <row r="134" spans="1:6" ht="12.75" hidden="1">
      <c r="A134" s="165" t="s">
        <v>84</v>
      </c>
      <c r="B134" s="38"/>
      <c r="C134" s="38"/>
      <c r="D134" s="38"/>
      <c r="E134" s="38"/>
      <c r="F134" s="38"/>
    </row>
    <row r="135" spans="1:6" ht="12.75" hidden="1">
      <c r="A135" s="136" t="s">
        <v>85</v>
      </c>
      <c r="B135" s="68">
        <f>B133*B134</f>
        <v>0</v>
      </c>
      <c r="C135" s="68">
        <f>C133*C134</f>
        <v>0</v>
      </c>
      <c r="D135" s="68">
        <f>D133*D134</f>
        <v>0</v>
      </c>
      <c r="E135" s="68">
        <f>E133*E134</f>
        <v>0</v>
      </c>
      <c r="F135" s="68">
        <f>F133*F134</f>
        <v>0</v>
      </c>
    </row>
    <row r="136" spans="1:6" ht="12.75" hidden="1">
      <c r="A136" s="165"/>
      <c r="B136" s="74" t="str">
        <f>IF(B134&gt;30,"Maximaal 30 invullen!!"," ")</f>
        <v> </v>
      </c>
      <c r="C136" s="74" t="str">
        <f>IF(C134&gt;30,"Maximaal 30 invullen!!"," ")</f>
        <v> </v>
      </c>
      <c r="D136" s="74" t="str">
        <f>IF(D134&gt;30,"Maximaal 30 invullen!!"," ")</f>
        <v> </v>
      </c>
      <c r="E136" s="74" t="str">
        <f>IF(E134&gt;30,"Maximaal 30 invullen!!"," ")</f>
        <v> </v>
      </c>
      <c r="F136" s="74" t="str">
        <f>IF(F134&gt;30,"Maximaal 30 invullen!!"," ")</f>
        <v> </v>
      </c>
    </row>
    <row r="137" spans="1:6" ht="12.75" hidden="1">
      <c r="A137" s="136">
        <f>A131</f>
        <v>0</v>
      </c>
      <c r="B137" s="74">
        <f>SUM(B135:F135)</f>
        <v>0</v>
      </c>
      <c r="C137" s="68"/>
      <c r="D137" s="68"/>
      <c r="E137" s="68"/>
      <c r="F137" s="68"/>
    </row>
    <row r="138" ht="12.75" hidden="1"/>
    <row r="139" ht="12.75"/>
    <row r="140" ht="12.75">
      <c r="A140" s="55" t="str">
        <f>A1</f>
        <v>Nulvariant</v>
      </c>
    </row>
    <row r="141" spans="1:14" s="19" customFormat="1" ht="12.75">
      <c r="A141" s="164" t="str">
        <f>A16</f>
        <v>Effectenoverzicht</v>
      </c>
      <c r="B141" s="132" t="s">
        <v>51</v>
      </c>
      <c r="C141" s="132" t="s">
        <v>86</v>
      </c>
      <c r="J141" s="78"/>
      <c r="K141" s="78"/>
      <c r="L141" s="78"/>
      <c r="M141" s="79"/>
      <c r="N141" s="80"/>
    </row>
    <row r="142" spans="1:14" ht="12.75">
      <c r="A142" s="165" t="str">
        <f>A36</f>
        <v>M1 grondkwaliteit</v>
      </c>
      <c r="B142" s="68" t="s">
        <v>360</v>
      </c>
      <c r="C142" s="92">
        <f>B36/1000</f>
        <v>0</v>
      </c>
      <c r="D142" s="51"/>
      <c r="F142" s="81"/>
      <c r="M142" s="82"/>
      <c r="N142" s="83"/>
    </row>
    <row r="143" spans="1:14" ht="12.75">
      <c r="A143" s="165" t="str">
        <f>A54</f>
        <v>M2 grondwaterkwaliteit</v>
      </c>
      <c r="B143" s="68" t="s">
        <v>360</v>
      </c>
      <c r="C143" s="92">
        <f>B54/1000</f>
        <v>0</v>
      </c>
      <c r="D143" s="51"/>
      <c r="F143" s="81"/>
      <c r="M143" s="82"/>
      <c r="N143" s="83"/>
    </row>
    <row r="144" spans="1:14" ht="15" hidden="1">
      <c r="A144" s="165">
        <f>A62</f>
        <v>0</v>
      </c>
      <c r="B144" s="68" t="s">
        <v>87</v>
      </c>
      <c r="C144" s="92">
        <f>(-B62)</f>
        <v>0</v>
      </c>
      <c r="E144" s="51"/>
      <c r="F144" s="81"/>
      <c r="M144" s="82"/>
      <c r="N144" s="83"/>
    </row>
    <row r="145" spans="1:14" ht="15" hidden="1">
      <c r="A145" s="165">
        <f>A70</f>
        <v>0</v>
      </c>
      <c r="B145" s="68" t="s">
        <v>88</v>
      </c>
      <c r="C145" s="92">
        <f>-B70/1000</f>
        <v>0</v>
      </c>
      <c r="E145" s="51"/>
      <c r="F145" s="81"/>
      <c r="M145" s="82"/>
      <c r="N145" s="83"/>
    </row>
    <row r="146" spans="1:14" ht="12.75" hidden="1">
      <c r="A146" s="165" t="str">
        <f>A98</f>
        <v>M5 energiegebruik</v>
      </c>
      <c r="B146" s="68" t="str">
        <f>C98</f>
        <v>inw.eq</v>
      </c>
      <c r="C146" s="69">
        <f>-B98</f>
        <v>0</v>
      </c>
      <c r="E146" s="51"/>
      <c r="F146" s="81"/>
      <c r="M146" s="82"/>
      <c r="N146" s="83"/>
    </row>
    <row r="147" spans="1:14" ht="12.75" hidden="1">
      <c r="A147" s="165" t="str">
        <f>A99</f>
        <v>M6 luchtemissies</v>
      </c>
      <c r="B147" s="68" t="s">
        <v>74</v>
      </c>
      <c r="C147" s="69">
        <f>-B99</f>
        <v>0</v>
      </c>
      <c r="E147" s="51"/>
      <c r="F147" s="81"/>
      <c r="M147" s="82"/>
      <c r="N147" s="83"/>
    </row>
    <row r="148" spans="1:14" ht="12.75" hidden="1">
      <c r="A148" s="165">
        <f>A117</f>
        <v>0</v>
      </c>
      <c r="B148" s="68" t="s">
        <v>360</v>
      </c>
      <c r="C148" s="69">
        <f>-B117/1000</f>
        <v>0</v>
      </c>
      <c r="E148" s="51"/>
      <c r="F148" s="81"/>
      <c r="M148" s="82"/>
      <c r="N148" s="83"/>
    </row>
    <row r="149" spans="1:14" ht="15" hidden="1">
      <c r="A149" s="165">
        <f>A127</f>
        <v>0</v>
      </c>
      <c r="B149" s="68" t="s">
        <v>87</v>
      </c>
      <c r="C149" s="69">
        <f>-B127</f>
        <v>0</v>
      </c>
      <c r="E149" s="51"/>
      <c r="F149" s="81"/>
      <c r="M149" s="82"/>
      <c r="N149" s="83"/>
    </row>
    <row r="150" spans="1:14" ht="15" hidden="1">
      <c r="A150" s="165">
        <f>A137</f>
        <v>0</v>
      </c>
      <c r="B150" s="68" t="s">
        <v>89</v>
      </c>
      <c r="C150" s="69">
        <f>-B137</f>
        <v>0</v>
      </c>
      <c r="E150" s="51"/>
      <c r="F150" s="81"/>
      <c r="M150" s="82"/>
      <c r="N150" s="83"/>
    </row>
    <row r="151" ht="12.75">
      <c r="A151" s="58"/>
    </row>
    <row r="154" ht="12.75"/>
    <row r="155" ht="12.75"/>
    <row r="156" ht="12.75"/>
    <row r="157" ht="12.75"/>
    <row r="167" ht="12.75"/>
    <row r="168" ht="12.75"/>
    <row r="169" ht="12.75"/>
    <row r="171" ht="12.75"/>
    <row r="172" ht="12.75"/>
    <row r="173" ht="12.75"/>
    <row r="174" ht="12.75"/>
    <row r="175" ht="12.75"/>
    <row r="177" ht="12.75"/>
    <row r="223" ht="12.75"/>
    <row r="224" ht="12.75"/>
    <row r="225" ht="12.75"/>
    <row r="242" ht="12.75"/>
    <row r="254" ht="12.75"/>
    <row r="255" ht="12.75"/>
    <row r="256" ht="12.75"/>
  </sheetData>
  <sheetProtection sheet="1" scenarios="1"/>
  <printOptions/>
  <pageMargins left="0.5905511811023623" right="0.5905511811023623" top="0.984251968503937" bottom="0.984251968503937" header="0.5118110236220472" footer="0.5118110236220472"/>
  <pageSetup fitToHeight="3" fitToWidth="1" horizontalDpi="300" verticalDpi="300" orientation="portrait" paperSize="9" scale="94" r:id="rId3"/>
  <headerFooter alignWithMargins="0">
    <oddHeader>&amp;C&amp;F</oddHeader>
    <oddFooter>&amp;CMilieuverdienste in RMK</oddFooter>
  </headerFooter>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N151"/>
  <sheetViews>
    <sheetView showGridLines="0" zoomScale="90" zoomScaleNormal="90" workbookViewId="0" topLeftCell="A1">
      <selection activeCell="A2" sqref="A2"/>
    </sheetView>
  </sheetViews>
  <sheetFormatPr defaultColWidth="9.140625" defaultRowHeight="12.75"/>
  <cols>
    <col min="1" max="1" width="27.7109375" style="56" customWidth="1"/>
    <col min="2" max="2" width="10.28125" style="20" customWidth="1"/>
    <col min="3" max="3" width="9.421875" style="20" customWidth="1"/>
    <col min="4" max="4" width="11.7109375" style="20" customWidth="1"/>
    <col min="5" max="5" width="8.00390625" style="20" customWidth="1"/>
    <col min="6" max="6" width="9.421875" style="20" customWidth="1"/>
    <col min="7" max="7" width="10.140625" style="20" customWidth="1"/>
    <col min="8" max="8" width="10.8515625" style="20" customWidth="1"/>
    <col min="9" max="9" width="0" style="20" hidden="1" customWidth="1"/>
    <col min="10" max="10" width="6.28125" style="52" hidden="1" customWidth="1"/>
    <col min="11" max="12" width="5.140625" style="52" hidden="1" customWidth="1"/>
    <col min="13" max="15" width="8.8515625" style="20" customWidth="1"/>
    <col min="16" max="16" width="13.421875" style="20" customWidth="1"/>
    <col min="17" max="17" width="10.57421875" style="20" customWidth="1"/>
    <col min="18" max="16384" width="8.8515625" style="20" customWidth="1"/>
  </cols>
  <sheetData>
    <row r="1" spans="1:2" ht="18">
      <c r="A1" s="75" t="str">
        <f>Inhoud!E11</f>
        <v>Variant I</v>
      </c>
      <c r="B1" s="100" t="s">
        <v>41</v>
      </c>
    </row>
    <row r="2" ht="12.75">
      <c r="A2" s="336"/>
    </row>
    <row r="3" ht="12.75">
      <c r="A3" s="62" t="str">
        <f>Huidig!A3</f>
        <v>Terug naar inhoud:</v>
      </c>
    </row>
    <row r="4" ht="12.75">
      <c r="A4" s="55" t="s">
        <v>42</v>
      </c>
    </row>
    <row r="5" ht="12.75">
      <c r="A5" s="55" t="s">
        <v>20</v>
      </c>
    </row>
    <row r="6" ht="12.75">
      <c r="A6" s="56" t="s">
        <v>320</v>
      </c>
    </row>
    <row r="7" ht="12.75">
      <c r="A7" s="56" t="s">
        <v>321</v>
      </c>
    </row>
    <row r="8" ht="12.75">
      <c r="A8" s="56" t="s">
        <v>322</v>
      </c>
    </row>
    <row r="9" ht="12.75">
      <c r="A9" s="56" t="s">
        <v>323</v>
      </c>
    </row>
    <row r="10" ht="12.75">
      <c r="A10" s="56" t="s">
        <v>382</v>
      </c>
    </row>
    <row r="11" ht="12.75">
      <c r="A11" s="56" t="s">
        <v>316</v>
      </c>
    </row>
    <row r="12" ht="12.75">
      <c r="A12" s="56" t="s">
        <v>406</v>
      </c>
    </row>
    <row r="13" ht="12.75">
      <c r="A13" s="56" t="s">
        <v>317</v>
      </c>
    </row>
    <row r="14" ht="12.75"/>
    <row r="15" ht="12.75">
      <c r="A15" s="55" t="s">
        <v>296</v>
      </c>
    </row>
    <row r="16" ht="12.75">
      <c r="A16" s="56" t="s">
        <v>277</v>
      </c>
    </row>
    <row r="17" ht="12.75"/>
    <row r="18" ht="12.75"/>
    <row r="19" spans="1:12" s="176" customFormat="1" ht="12.75">
      <c r="A19" s="175"/>
      <c r="J19" s="177"/>
      <c r="K19" s="177"/>
      <c r="L19" s="177"/>
    </row>
    <row r="20" spans="1:12" s="76" customFormat="1" ht="12.75">
      <c r="A20" s="166"/>
      <c r="J20" s="167"/>
      <c r="K20" s="167"/>
      <c r="L20" s="167"/>
    </row>
    <row r="21" ht="12.75">
      <c r="A21" s="55" t="str">
        <f>A1</f>
        <v>Variant I</v>
      </c>
    </row>
    <row r="22" ht="12.75">
      <c r="A22" s="55" t="str">
        <f>A6</f>
        <v>M1 grondkwaliteit</v>
      </c>
    </row>
    <row r="23" spans="1:12" s="19" customFormat="1" ht="24" customHeight="1">
      <c r="A23" s="170" t="str">
        <f>Huidig!A24</f>
        <v>Verontreinigende stof</v>
      </c>
      <c r="B23" s="132" t="str">
        <f>Huidig!B24</f>
        <v>s' [mg/kg]</v>
      </c>
      <c r="C23" s="132" t="str">
        <f>Huidig!C24</f>
        <v>i' [mg/kg]</v>
      </c>
      <c r="D23" s="132" t="s">
        <v>418</v>
      </c>
      <c r="E23" s="132" t="str">
        <f>Huidig!G24</f>
        <v>lut. [%]</v>
      </c>
      <c r="F23" s="132" t="s">
        <v>43</v>
      </c>
      <c r="G23" s="132" t="str">
        <f>Huidig!I24</f>
        <v>Grond- kubels [m3]</v>
      </c>
      <c r="H23" s="132" t="s">
        <v>329</v>
      </c>
      <c r="J23" s="131" t="str">
        <f>Huidig!L24</f>
        <v>s</v>
      </c>
      <c r="K23" s="131" t="str">
        <f>Huidig!M24</f>
        <v>i</v>
      </c>
      <c r="L23" s="131" t="str">
        <f>Huidig!N24</f>
        <v>t'</v>
      </c>
    </row>
    <row r="24" spans="1:12" ht="12.75">
      <c r="A24" s="165">
        <f>IF(Huidig!$O25&gt;1,INDEX(Normen!$A$12:$C$128,Huidig!$O25,1),"")</f>
      </c>
      <c r="B24" s="69">
        <f aca="true" t="shared" si="0" ref="B24:B34">J24</f>
        <v>0</v>
      </c>
      <c r="C24" s="69">
        <f aca="true" t="shared" si="1" ref="C24:C34">K24</f>
        <v>0</v>
      </c>
      <c r="D24" s="38">
        <f>30*Huidig!D25</f>
        <v>0</v>
      </c>
      <c r="E24" s="68">
        <f>Huidig!G25</f>
        <v>25</v>
      </c>
      <c r="F24" s="68">
        <f>Huidig!S25</f>
        <v>10</v>
      </c>
      <c r="G24" s="71">
        <f>IF(D24&gt;0,1000000*D24/(30*L24),0)</f>
        <v>0</v>
      </c>
      <c r="H24" s="71">
        <f>Huidig!J25-0.0000017*D24/30</f>
        <v>0</v>
      </c>
      <c r="J24" s="77">
        <f>Huidig!B25</f>
        <v>0</v>
      </c>
      <c r="K24" s="77">
        <f>Huidig!C25</f>
        <v>0</v>
      </c>
      <c r="L24" s="77">
        <f>Huidig!N25</f>
        <v>0</v>
      </c>
    </row>
    <row r="25" spans="1:12" ht="12.75">
      <c r="A25" s="165">
        <f>IF(Huidig!$O26&gt;1,INDEX(Normen!$A$12:$C$128,Huidig!$O26,1),"")</f>
      </c>
      <c r="B25" s="69">
        <f t="shared" si="0"/>
        <v>0</v>
      </c>
      <c r="C25" s="69">
        <f t="shared" si="1"/>
        <v>0</v>
      </c>
      <c r="D25" s="38">
        <f>30*Huidig!D26</f>
        <v>0</v>
      </c>
      <c r="E25" s="68">
        <f>Huidig!G26</f>
        <v>25</v>
      </c>
      <c r="F25" s="68">
        <f>Huidig!S26</f>
        <v>10</v>
      </c>
      <c r="G25" s="71">
        <f aca="true" t="shared" si="2" ref="G25:G34">IF(D25&gt;0,1000000*D25/(30*L25),0)</f>
        <v>0</v>
      </c>
      <c r="H25" s="71">
        <f>Huidig!J26-0.0000017*D25/30</f>
        <v>0</v>
      </c>
      <c r="J25" s="77">
        <f>Huidig!B26</f>
        <v>0</v>
      </c>
      <c r="K25" s="77">
        <f>Huidig!C26</f>
        <v>0</v>
      </c>
      <c r="L25" s="77">
        <f>Huidig!N26</f>
        <v>0</v>
      </c>
    </row>
    <row r="26" spans="1:12" ht="12.75">
      <c r="A26" s="165">
        <f>IF(Huidig!$O27&gt;1,INDEX(Normen!$A$12:$C$128,Huidig!$O27,1),"")</f>
      </c>
      <c r="B26" s="69">
        <f t="shared" si="0"/>
        <v>0</v>
      </c>
      <c r="C26" s="69">
        <f t="shared" si="1"/>
        <v>0</v>
      </c>
      <c r="D26" s="38">
        <f>30*Huidig!D27</f>
        <v>0</v>
      </c>
      <c r="E26" s="68">
        <f>Huidig!G27</f>
        <v>25</v>
      </c>
      <c r="F26" s="68">
        <f>Huidig!S27</f>
        <v>10</v>
      </c>
      <c r="G26" s="71">
        <f t="shared" si="2"/>
        <v>0</v>
      </c>
      <c r="H26" s="71">
        <f>Huidig!J27-0.0000017*D26/30</f>
        <v>0</v>
      </c>
      <c r="J26" s="77">
        <f>Huidig!B27</f>
        <v>0</v>
      </c>
      <c r="K26" s="77">
        <f>Huidig!C27</f>
        <v>0</v>
      </c>
      <c r="L26" s="77">
        <f>Huidig!N27</f>
        <v>0</v>
      </c>
    </row>
    <row r="27" spans="1:12" ht="12.75">
      <c r="A27" s="165">
        <f>IF(Huidig!$O28&gt;1,INDEX(Normen!$A$12:$C$128,Huidig!$O28,1),"")</f>
      </c>
      <c r="B27" s="69">
        <f t="shared" si="0"/>
        <v>0</v>
      </c>
      <c r="C27" s="69">
        <f t="shared" si="1"/>
        <v>0</v>
      </c>
      <c r="D27" s="38">
        <f>30*Huidig!D28</f>
        <v>0</v>
      </c>
      <c r="E27" s="68">
        <f>Huidig!G28</f>
        <v>25</v>
      </c>
      <c r="F27" s="68">
        <f>Huidig!S28</f>
        <v>10</v>
      </c>
      <c r="G27" s="71">
        <f t="shared" si="2"/>
        <v>0</v>
      </c>
      <c r="H27" s="71">
        <f>Huidig!J28-0.0000017*D27/30</f>
        <v>0</v>
      </c>
      <c r="J27" s="77">
        <f>Huidig!B28</f>
        <v>0</v>
      </c>
      <c r="K27" s="77">
        <f>Huidig!C28</f>
        <v>0</v>
      </c>
      <c r="L27" s="77">
        <f>Huidig!N28</f>
        <v>0</v>
      </c>
    </row>
    <row r="28" spans="1:12" ht="12.75">
      <c r="A28" s="165">
        <f>IF(Huidig!$O29&gt;1,INDEX(Normen!$A$12:$C$128,Huidig!$O29,1),"")</f>
      </c>
      <c r="B28" s="69">
        <f t="shared" si="0"/>
        <v>0</v>
      </c>
      <c r="C28" s="69">
        <f t="shared" si="1"/>
        <v>0</v>
      </c>
      <c r="D28" s="38">
        <f>30*Huidig!D29</f>
        <v>0</v>
      </c>
      <c r="E28" s="68">
        <f>Huidig!G29</f>
        <v>25</v>
      </c>
      <c r="F28" s="68">
        <f>Huidig!S29</f>
        <v>10</v>
      </c>
      <c r="G28" s="71">
        <f t="shared" si="2"/>
        <v>0</v>
      </c>
      <c r="H28" s="71">
        <f>Huidig!J29-0.0000017*D28/30</f>
        <v>0</v>
      </c>
      <c r="J28" s="77">
        <f>Huidig!B29</f>
        <v>0</v>
      </c>
      <c r="K28" s="77">
        <f>Huidig!C29</f>
        <v>0</v>
      </c>
      <c r="L28" s="77">
        <f>Huidig!N29</f>
        <v>0</v>
      </c>
    </row>
    <row r="29" spans="1:12" ht="12.75">
      <c r="A29" s="165">
        <f>IF(Huidig!$O30&gt;1,INDEX(Normen!$A$12:$C$128,Huidig!$O30,1),"")</f>
      </c>
      <c r="B29" s="69">
        <f t="shared" si="0"/>
        <v>0</v>
      </c>
      <c r="C29" s="69">
        <f t="shared" si="1"/>
        <v>0</v>
      </c>
      <c r="D29" s="38">
        <f>30*Huidig!D30</f>
        <v>0</v>
      </c>
      <c r="E29" s="68">
        <f>Huidig!G30</f>
        <v>25</v>
      </c>
      <c r="F29" s="68">
        <f>Huidig!S30</f>
        <v>10</v>
      </c>
      <c r="G29" s="71">
        <f t="shared" si="2"/>
        <v>0</v>
      </c>
      <c r="H29" s="71">
        <f>Huidig!J30-0.0000017*D29/30</f>
        <v>0</v>
      </c>
      <c r="J29" s="77">
        <f>Huidig!B30</f>
        <v>0</v>
      </c>
      <c r="K29" s="77">
        <f>Huidig!C30</f>
        <v>0</v>
      </c>
      <c r="L29" s="77">
        <f>Huidig!N30</f>
        <v>0</v>
      </c>
    </row>
    <row r="30" spans="1:12" ht="12.75">
      <c r="A30" s="165">
        <f>IF(Huidig!$O31&gt;1,INDEX(Normen!$A$12:$C$128,Huidig!$O31,1),"")</f>
      </c>
      <c r="B30" s="69">
        <f t="shared" si="0"/>
        <v>0</v>
      </c>
      <c r="C30" s="69">
        <f t="shared" si="1"/>
        <v>0</v>
      </c>
      <c r="D30" s="38">
        <f>30*Huidig!D31</f>
        <v>0</v>
      </c>
      <c r="E30" s="68">
        <f>Huidig!G31</f>
        <v>25</v>
      </c>
      <c r="F30" s="68">
        <f>Huidig!S31</f>
        <v>10</v>
      </c>
      <c r="G30" s="71">
        <f t="shared" si="2"/>
        <v>0</v>
      </c>
      <c r="H30" s="71">
        <f>Huidig!J31-0.0000017*D30/30</f>
        <v>0</v>
      </c>
      <c r="J30" s="77">
        <f>Huidig!B31</f>
        <v>0</v>
      </c>
      <c r="K30" s="77">
        <f>Huidig!C31</f>
        <v>0</v>
      </c>
      <c r="L30" s="77">
        <f>Huidig!N31</f>
        <v>0</v>
      </c>
    </row>
    <row r="31" spans="1:12" ht="12.75">
      <c r="A31" s="165">
        <f>IF(Huidig!$O32&gt;1,INDEX(Normen!$A$12:$C$128,Huidig!$O32,1),"")</f>
      </c>
      <c r="B31" s="69">
        <f t="shared" si="0"/>
        <v>0</v>
      </c>
      <c r="C31" s="69">
        <f t="shared" si="1"/>
        <v>0</v>
      </c>
      <c r="D31" s="38">
        <f>30*Huidig!D32</f>
        <v>0</v>
      </c>
      <c r="E31" s="68">
        <f>Huidig!G32</f>
        <v>25</v>
      </c>
      <c r="F31" s="68">
        <f>Huidig!S32</f>
        <v>10</v>
      </c>
      <c r="G31" s="71">
        <f t="shared" si="2"/>
        <v>0</v>
      </c>
      <c r="H31" s="71">
        <f>Huidig!J32-0.0000017*D31/30</f>
        <v>0</v>
      </c>
      <c r="J31" s="77">
        <f>Huidig!B32</f>
        <v>0</v>
      </c>
      <c r="K31" s="77">
        <f>Huidig!C32</f>
        <v>0</v>
      </c>
      <c r="L31" s="77">
        <f>Huidig!N32</f>
        <v>0</v>
      </c>
    </row>
    <row r="32" spans="1:12" ht="12.75">
      <c r="A32" s="165">
        <f>IF(Huidig!A33="Type een verontreiniging:","",Huidig!A33)</f>
      </c>
      <c r="B32" s="69">
        <f t="shared" si="0"/>
        <v>0</v>
      </c>
      <c r="C32" s="69">
        <f t="shared" si="1"/>
        <v>0</v>
      </c>
      <c r="D32" s="38">
        <f>30*Huidig!D33</f>
        <v>0</v>
      </c>
      <c r="E32" s="68"/>
      <c r="F32" s="68"/>
      <c r="G32" s="71">
        <f t="shared" si="2"/>
        <v>0</v>
      </c>
      <c r="H32" s="71">
        <f>Huidig!J33-0.0000017*D32/30</f>
        <v>0</v>
      </c>
      <c r="J32" s="77">
        <f>Huidig!B33</f>
        <v>0</v>
      </c>
      <c r="K32" s="77">
        <f>Huidig!C33</f>
        <v>0</v>
      </c>
      <c r="L32" s="77">
        <f>Huidig!N33</f>
        <v>0</v>
      </c>
    </row>
    <row r="33" spans="1:12" ht="12.75">
      <c r="A33" s="165">
        <f>IF(Huidig!A34="Type een verontreiniging:","",Huidig!A34)</f>
      </c>
      <c r="B33" s="69">
        <f t="shared" si="0"/>
        <v>0</v>
      </c>
      <c r="C33" s="69">
        <f t="shared" si="1"/>
        <v>0</v>
      </c>
      <c r="D33" s="38">
        <f>30*Huidig!D34</f>
        <v>0</v>
      </c>
      <c r="E33" s="68"/>
      <c r="F33" s="68"/>
      <c r="G33" s="71">
        <f t="shared" si="2"/>
        <v>0</v>
      </c>
      <c r="H33" s="71">
        <f>Huidig!J34-0.0000017*D33/30</f>
        <v>0</v>
      </c>
      <c r="J33" s="77">
        <f>Huidig!B34</f>
        <v>0</v>
      </c>
      <c r="K33" s="77">
        <f>Huidig!C34</f>
        <v>0</v>
      </c>
      <c r="L33" s="77">
        <f>Huidig!N34</f>
        <v>0</v>
      </c>
    </row>
    <row r="34" spans="1:12" ht="12.75">
      <c r="A34" s="165">
        <f>IF(Huidig!A35="Type een verontreiniging:","",Huidig!A35)</f>
      </c>
      <c r="B34" s="69">
        <f t="shared" si="0"/>
        <v>0</v>
      </c>
      <c r="C34" s="69">
        <f t="shared" si="1"/>
        <v>0</v>
      </c>
      <c r="D34" s="38">
        <f>30*Huidig!D35</f>
        <v>0</v>
      </c>
      <c r="E34" s="68"/>
      <c r="F34" s="68"/>
      <c r="G34" s="71">
        <f t="shared" si="2"/>
        <v>0</v>
      </c>
      <c r="H34" s="71">
        <f>Huidig!J35-0.0000017*D34/30</f>
        <v>0</v>
      </c>
      <c r="J34" s="77">
        <f>Huidig!B35</f>
        <v>0</v>
      </c>
      <c r="K34" s="77">
        <f>Huidig!C35</f>
        <v>0</v>
      </c>
      <c r="L34" s="77">
        <f>Huidig!N35</f>
        <v>0</v>
      </c>
    </row>
    <row r="35" spans="1:12" ht="12.75">
      <c r="A35" s="136" t="s">
        <v>36</v>
      </c>
      <c r="B35" s="68"/>
      <c r="C35" s="68"/>
      <c r="D35" s="68"/>
      <c r="E35" s="68"/>
      <c r="F35" s="68"/>
      <c r="G35" s="84">
        <f>SUM(G24:G34)</f>
        <v>0</v>
      </c>
      <c r="H35" s="68"/>
      <c r="J35" s="77"/>
      <c r="K35" s="77"/>
      <c r="L35" s="77"/>
    </row>
    <row r="36" spans="1:12" ht="12.75">
      <c r="A36" s="136" t="str">
        <f>A22</f>
        <v>M1 grondkwaliteit</v>
      </c>
      <c r="B36" s="74">
        <f>Huidig!I36-I!G35</f>
        <v>0</v>
      </c>
      <c r="C36" s="68"/>
      <c r="D36" s="68"/>
      <c r="E36" s="68"/>
      <c r="F36" s="68"/>
      <c r="G36" s="68"/>
      <c r="H36" s="68"/>
      <c r="J36" s="77"/>
      <c r="K36" s="77"/>
      <c r="L36" s="77"/>
    </row>
    <row r="37" spans="10:12" ht="12.75">
      <c r="J37" s="77"/>
      <c r="K37" s="77"/>
      <c r="L37" s="77"/>
    </row>
    <row r="38" spans="1:12" ht="12.75">
      <c r="A38" s="20"/>
      <c r="J38" s="77"/>
      <c r="K38" s="77"/>
      <c r="L38" s="77"/>
    </row>
    <row r="39" spans="1:12" ht="12.75">
      <c r="A39" s="55" t="str">
        <f>A1</f>
        <v>Variant I</v>
      </c>
      <c r="J39" s="77"/>
      <c r="K39" s="77"/>
      <c r="L39" s="77"/>
    </row>
    <row r="40" spans="1:12" ht="12.75">
      <c r="A40" s="55" t="str">
        <f>A7</f>
        <v>M2 grondwaterkwaliteit</v>
      </c>
      <c r="J40" s="77"/>
      <c r="K40" s="77"/>
      <c r="L40" s="77"/>
    </row>
    <row r="41" spans="1:12" s="19" customFormat="1" ht="38.25" customHeight="1">
      <c r="A41" s="170" t="str">
        <f>Huidig!A42</f>
        <v>Verontreinigende stof</v>
      </c>
      <c r="B41" s="132" t="str">
        <f>Huidig!B42</f>
        <v>s [ug/l]</v>
      </c>
      <c r="C41" s="132" t="str">
        <f>Huidig!C42</f>
        <v>i [ug/l]</v>
      </c>
      <c r="D41" s="132" t="s">
        <v>418</v>
      </c>
      <c r="E41" s="132" t="str">
        <f>Huidig!I42</f>
        <v>Water-kubels [m3]</v>
      </c>
      <c r="J41" s="133" t="str">
        <f>Huidig!M42</f>
        <v>t</v>
      </c>
      <c r="K41" s="134"/>
      <c r="L41" s="78"/>
    </row>
    <row r="42" spans="1:11" ht="12.75">
      <c r="A42" s="165">
        <f>IF(Huidig!$P43&gt;1,INDEX(Normen!$A$12:$C$128,Huidig!$P43,1),"")</f>
      </c>
      <c r="B42" s="68">
        <f>Huidig!B43</f>
        <v>0</v>
      </c>
      <c r="C42" s="68">
        <f>Huidig!C43</f>
        <v>0</v>
      </c>
      <c r="D42" s="38">
        <f>30*Huidig!D43</f>
        <v>0</v>
      </c>
      <c r="E42" s="68">
        <f>IF(D42&gt;0,1000000000*D42/(30*J42),0)</f>
        <v>0</v>
      </c>
      <c r="F42" s="61"/>
      <c r="J42" s="77">
        <f>0.5*(B42+C42)</f>
        <v>0</v>
      </c>
      <c r="K42" s="77"/>
    </row>
    <row r="43" spans="1:11" ht="12.75">
      <c r="A43" s="165">
        <f>IF(Huidig!$P44&gt;1,INDEX(Normen!$A$12:$C$128,Huidig!$P44,1),"")</f>
      </c>
      <c r="B43" s="68">
        <f>Huidig!B44</f>
        <v>0</v>
      </c>
      <c r="C43" s="68">
        <f>Huidig!C44</f>
        <v>0</v>
      </c>
      <c r="D43" s="38">
        <f>30*Huidig!D44</f>
        <v>0</v>
      </c>
      <c r="E43" s="68">
        <f aca="true" t="shared" si="3" ref="E43:E52">IF(D43&gt;0,1000000000*D43/(30*J43),0)</f>
        <v>0</v>
      </c>
      <c r="F43" s="61"/>
      <c r="J43" s="77">
        <f>0.5*(B43+C43)</f>
        <v>0</v>
      </c>
      <c r="K43" s="77"/>
    </row>
    <row r="44" spans="1:11" ht="12.75">
      <c r="A44" s="165">
        <f>IF(Huidig!$P45&gt;1,INDEX(Normen!$A$12:$C$128,Huidig!$P45,1),"")</f>
      </c>
      <c r="B44" s="68">
        <f>Huidig!B45</f>
        <v>0</v>
      </c>
      <c r="C44" s="68">
        <f>Huidig!C45</f>
        <v>0</v>
      </c>
      <c r="D44" s="38">
        <f>30*Huidig!D45</f>
        <v>0</v>
      </c>
      <c r="E44" s="68">
        <f t="shared" si="3"/>
        <v>0</v>
      </c>
      <c r="F44" s="61"/>
      <c r="J44" s="77">
        <f>0.5*(B44+C44)</f>
        <v>0</v>
      </c>
      <c r="K44" s="77"/>
    </row>
    <row r="45" spans="1:11" ht="12.75">
      <c r="A45" s="165">
        <f>IF(Huidig!$P46&gt;1,INDEX(Normen!$A$12:$C$128,Huidig!$P46,1),"")</f>
      </c>
      <c r="B45" s="68">
        <f>Huidig!B46</f>
        <v>0</v>
      </c>
      <c r="C45" s="68">
        <f>Huidig!C46</f>
        <v>0</v>
      </c>
      <c r="D45" s="38">
        <f>30*Huidig!D46</f>
        <v>0</v>
      </c>
      <c r="E45" s="68">
        <f t="shared" si="3"/>
        <v>0</v>
      </c>
      <c r="F45" s="61"/>
      <c r="J45" s="77">
        <f>0.5*(B45+C45)</f>
        <v>0</v>
      </c>
      <c r="K45" s="77"/>
    </row>
    <row r="46" spans="1:11" ht="12.75">
      <c r="A46" s="165">
        <f>IF(Huidig!$P47&gt;1,INDEX(Normen!$A$12:$C$128,Huidig!$P47,1),"")</f>
      </c>
      <c r="B46" s="68">
        <f>Huidig!B47</f>
        <v>0</v>
      </c>
      <c r="C46" s="68">
        <f>Huidig!C47</f>
        <v>0</v>
      </c>
      <c r="D46" s="38">
        <f>30*Huidig!D47</f>
        <v>0</v>
      </c>
      <c r="E46" s="68">
        <f t="shared" si="3"/>
        <v>0</v>
      </c>
      <c r="F46" s="61"/>
      <c r="J46" s="77">
        <f>0.5*(B46+C46)</f>
        <v>0</v>
      </c>
      <c r="K46" s="77"/>
    </row>
    <row r="47" spans="1:11" ht="12.75">
      <c r="A47" s="165">
        <f>IF(Huidig!$P48&gt;1,INDEX(Normen!$A$12:$C$128,Huidig!$P48,1),"")</f>
      </c>
      <c r="B47" s="68">
        <f>Huidig!B48</f>
        <v>0</v>
      </c>
      <c r="C47" s="68">
        <f>Huidig!C48</f>
        <v>0</v>
      </c>
      <c r="D47" s="38">
        <f>30*Huidig!D48</f>
        <v>0</v>
      </c>
      <c r="E47" s="68">
        <f t="shared" si="3"/>
        <v>0</v>
      </c>
      <c r="F47" s="61"/>
      <c r="J47" s="77">
        <f aca="true" t="shared" si="4" ref="J47:J52">0.5*(B47+C47)</f>
        <v>0</v>
      </c>
      <c r="K47" s="77"/>
    </row>
    <row r="48" spans="1:11" ht="12.75">
      <c r="A48" s="165">
        <f>IF(Huidig!$P49&gt;1,INDEX(Normen!$A$12:$C$128,Huidig!$P49,1),"")</f>
      </c>
      <c r="B48" s="68">
        <f>Huidig!B49</f>
        <v>0</v>
      </c>
      <c r="C48" s="68">
        <f>Huidig!C49</f>
        <v>0</v>
      </c>
      <c r="D48" s="38">
        <f>30*Huidig!D49</f>
        <v>0</v>
      </c>
      <c r="E48" s="68">
        <f t="shared" si="3"/>
        <v>0</v>
      </c>
      <c r="F48" s="61"/>
      <c r="J48" s="77">
        <f t="shared" si="4"/>
        <v>0</v>
      </c>
      <c r="K48" s="77"/>
    </row>
    <row r="49" spans="1:11" ht="12.75">
      <c r="A49" s="165">
        <f>IF(Huidig!$P50&gt;1,INDEX(Normen!$A$12:$C$128,Huidig!$P50,1),"")</f>
      </c>
      <c r="B49" s="68">
        <f>Huidig!B50</f>
        <v>0</v>
      </c>
      <c r="C49" s="68">
        <f>Huidig!C50</f>
        <v>0</v>
      </c>
      <c r="D49" s="38">
        <f>30*Huidig!D50</f>
        <v>0</v>
      </c>
      <c r="E49" s="68">
        <f t="shared" si="3"/>
        <v>0</v>
      </c>
      <c r="F49" s="61"/>
      <c r="J49" s="77">
        <f t="shared" si="4"/>
        <v>0</v>
      </c>
      <c r="K49" s="77"/>
    </row>
    <row r="50" spans="1:11" ht="12.75">
      <c r="A50" s="165">
        <f>IF(Huidig!A51="Type een verontreiniging:","",Huidig!A51)</f>
      </c>
      <c r="B50" s="68">
        <f>Huidig!B51</f>
        <v>0</v>
      </c>
      <c r="C50" s="68">
        <f>Huidig!C51</f>
        <v>0</v>
      </c>
      <c r="D50" s="38">
        <f>30*Huidig!D51</f>
        <v>0</v>
      </c>
      <c r="E50" s="68">
        <f t="shared" si="3"/>
        <v>0</v>
      </c>
      <c r="F50" s="61"/>
      <c r="J50" s="77">
        <f t="shared" si="4"/>
        <v>0</v>
      </c>
      <c r="K50" s="77"/>
    </row>
    <row r="51" spans="1:11" ht="12.75">
      <c r="A51" s="165">
        <f>IF(Huidig!A52="Type een verontreiniging:","",Huidig!A52)</f>
      </c>
      <c r="B51" s="68">
        <f>Huidig!B52</f>
        <v>0</v>
      </c>
      <c r="C51" s="68">
        <f>Huidig!C52</f>
        <v>0</v>
      </c>
      <c r="D51" s="38">
        <f>30*Huidig!D52</f>
        <v>0</v>
      </c>
      <c r="E51" s="68">
        <f t="shared" si="3"/>
        <v>0</v>
      </c>
      <c r="F51" s="61"/>
      <c r="J51" s="77">
        <f t="shared" si="4"/>
        <v>0</v>
      </c>
      <c r="K51" s="77"/>
    </row>
    <row r="52" spans="1:11" ht="12.75">
      <c r="A52" s="165">
        <f>IF(Huidig!A53="Type een verontreiniging:","",Huidig!A53)</f>
      </c>
      <c r="B52" s="68">
        <f>Huidig!B53</f>
        <v>0</v>
      </c>
      <c r="C52" s="68">
        <f>Huidig!C53</f>
        <v>0</v>
      </c>
      <c r="D52" s="38">
        <f>30*Huidig!D53</f>
        <v>0</v>
      </c>
      <c r="E52" s="68">
        <f t="shared" si="3"/>
        <v>0</v>
      </c>
      <c r="F52" s="61"/>
      <c r="J52" s="77">
        <f t="shared" si="4"/>
        <v>0</v>
      </c>
      <c r="K52" s="77"/>
    </row>
    <row r="53" spans="1:12" ht="12.75">
      <c r="A53" s="136" t="s">
        <v>36</v>
      </c>
      <c r="B53" s="68"/>
      <c r="C53" s="68"/>
      <c r="D53" s="68"/>
      <c r="E53" s="84">
        <f>SUM(E42:E52)</f>
        <v>0</v>
      </c>
      <c r="J53" s="77"/>
      <c r="K53" s="77"/>
      <c r="L53" s="77"/>
    </row>
    <row r="54" spans="1:12" ht="12.75">
      <c r="A54" s="136" t="str">
        <f>A40</f>
        <v>M2 grondwaterkwaliteit</v>
      </c>
      <c r="B54" s="74">
        <f>Huidig!I54-I!E53</f>
        <v>0</v>
      </c>
      <c r="C54" s="68"/>
      <c r="D54" s="68"/>
      <c r="E54" s="68"/>
      <c r="J54" s="77"/>
      <c r="K54" s="77"/>
      <c r="L54" s="77"/>
    </row>
    <row r="55" spans="10:12" ht="12.75">
      <c r="J55" s="77"/>
      <c r="K55" s="77"/>
      <c r="L55" s="77"/>
    </row>
    <row r="56" ht="12.75">
      <c r="A56" s="20"/>
    </row>
    <row r="57" ht="12.75">
      <c r="A57" s="55" t="str">
        <f>A1</f>
        <v>Variant I</v>
      </c>
    </row>
    <row r="58" ht="12.75">
      <c r="A58" s="55" t="str">
        <f>A8</f>
        <v>M3 verlies grond</v>
      </c>
    </row>
    <row r="59" spans="1:3" ht="12.75">
      <c r="A59" s="165" t="s">
        <v>44</v>
      </c>
      <c r="B59" s="38"/>
      <c r="C59" s="54"/>
    </row>
    <row r="60" spans="1:3" ht="12.75">
      <c r="A60" s="165" t="s">
        <v>45</v>
      </c>
      <c r="B60" s="38"/>
      <c r="C60" s="54"/>
    </row>
    <row r="61" spans="1:3" ht="12.75">
      <c r="A61" s="165"/>
      <c r="B61" s="68"/>
      <c r="C61" s="54"/>
    </row>
    <row r="62" spans="1:2" ht="12.75">
      <c r="A62" s="174" t="str">
        <f>A58</f>
        <v>M3 verlies grond</v>
      </c>
      <c r="B62" s="74">
        <f>B59-B60</f>
        <v>0</v>
      </c>
    </row>
    <row r="63" ht="12.75"/>
    <row r="64" ht="12.75">
      <c r="A64" s="20"/>
    </row>
    <row r="65" ht="12.75">
      <c r="A65" s="55" t="str">
        <f>A1</f>
        <v>Variant I</v>
      </c>
    </row>
    <row r="66" ht="12.75">
      <c r="A66" s="55" t="str">
        <f>A9</f>
        <v>M4 verlies grondwater</v>
      </c>
    </row>
    <row r="67" spans="1:3" ht="12.75">
      <c r="A67" s="165" t="s">
        <v>46</v>
      </c>
      <c r="B67" s="38"/>
      <c r="C67" s="54"/>
    </row>
    <row r="68" spans="1:3" ht="12.75">
      <c r="A68" s="165" t="s">
        <v>47</v>
      </c>
      <c r="B68" s="38"/>
      <c r="C68" s="54"/>
    </row>
    <row r="69" spans="1:3" ht="12.75">
      <c r="A69" s="165"/>
      <c r="B69" s="68"/>
      <c r="C69" s="54"/>
    </row>
    <row r="70" spans="1:2" ht="12.75">
      <c r="A70" s="136" t="str">
        <f>A66</f>
        <v>M4 verlies grondwater</v>
      </c>
      <c r="B70" s="74">
        <f>B67-B68</f>
        <v>0</v>
      </c>
    </row>
    <row r="71" ht="12.75"/>
    <row r="72" ht="12.75">
      <c r="A72" s="20"/>
    </row>
    <row r="73" ht="12.75">
      <c r="A73" s="55" t="str">
        <f>A1</f>
        <v>Variant I</v>
      </c>
    </row>
    <row r="74" ht="12.75">
      <c r="A74" s="55" t="str">
        <f>A10</f>
        <v>M5/6 energiegebruik en emissies</v>
      </c>
    </row>
    <row r="75" spans="1:12" s="94" customFormat="1" ht="25.5">
      <c r="A75" s="172" t="s">
        <v>48</v>
      </c>
      <c r="B75" s="96" t="s">
        <v>49</v>
      </c>
      <c r="C75" s="97" t="s">
        <v>325</v>
      </c>
      <c r="D75" s="98" t="s">
        <v>275</v>
      </c>
      <c r="E75" s="99" t="s">
        <v>50</v>
      </c>
      <c r="F75" s="96" t="s">
        <v>51</v>
      </c>
      <c r="G75" s="96" t="s">
        <v>52</v>
      </c>
      <c r="H75" s="96" t="s">
        <v>53</v>
      </c>
      <c r="J75" s="95"/>
      <c r="K75" s="95"/>
      <c r="L75" s="95"/>
    </row>
    <row r="76" spans="1:8" ht="12.75">
      <c r="A76" s="135"/>
      <c r="B76" s="68" t="s">
        <v>54</v>
      </c>
      <c r="C76" s="90"/>
      <c r="D76" s="86"/>
      <c r="E76" s="88"/>
      <c r="F76" s="68"/>
      <c r="G76" s="68"/>
      <c r="H76" s="68"/>
    </row>
    <row r="77" spans="1:8" ht="12.75">
      <c r="A77" s="135" t="s">
        <v>371</v>
      </c>
      <c r="B77" s="68" t="s">
        <v>55</v>
      </c>
      <c r="C77" s="91"/>
      <c r="D77" s="239"/>
      <c r="E77" s="89">
        <v>35</v>
      </c>
      <c r="F77" s="68" t="s">
        <v>56</v>
      </c>
      <c r="G77" s="68">
        <f>C77*E77</f>
        <v>0</v>
      </c>
      <c r="H77" s="68"/>
    </row>
    <row r="78" spans="1:8" ht="12.75">
      <c r="A78" s="135" t="s">
        <v>372</v>
      </c>
      <c r="B78" s="68" t="s">
        <v>55</v>
      </c>
      <c r="C78" s="39"/>
      <c r="D78" s="239"/>
      <c r="E78" s="89">
        <v>0.7</v>
      </c>
      <c r="F78" s="68" t="s">
        <v>57</v>
      </c>
      <c r="G78" s="68">
        <f>C78*E78*C79</f>
        <v>0</v>
      </c>
      <c r="H78" s="68"/>
    </row>
    <row r="79" spans="1:8" ht="12.75">
      <c r="A79" s="173" t="s">
        <v>58</v>
      </c>
      <c r="B79" s="85" t="s">
        <v>59</v>
      </c>
      <c r="C79" s="40"/>
      <c r="D79" s="239"/>
      <c r="E79" s="240" t="s">
        <v>54</v>
      </c>
      <c r="F79" s="68"/>
      <c r="G79" s="68" t="s">
        <v>54</v>
      </c>
      <c r="H79" s="68"/>
    </row>
    <row r="80" spans="1:8" ht="12.75">
      <c r="A80" s="135" t="s">
        <v>373</v>
      </c>
      <c r="B80" s="68" t="s">
        <v>55</v>
      </c>
      <c r="C80" s="39"/>
      <c r="D80" s="239"/>
      <c r="E80" s="89">
        <v>0.7</v>
      </c>
      <c r="F80" s="68" t="s">
        <v>57</v>
      </c>
      <c r="G80" s="68">
        <f>C80*E80*C81</f>
        <v>0</v>
      </c>
      <c r="H80" s="68"/>
    </row>
    <row r="81" spans="1:8" ht="12.75">
      <c r="A81" s="173" t="s">
        <v>60</v>
      </c>
      <c r="B81" s="85" t="s">
        <v>59</v>
      </c>
      <c r="C81" s="40"/>
      <c r="D81" s="239"/>
      <c r="E81" s="240" t="s">
        <v>54</v>
      </c>
      <c r="F81" s="68"/>
      <c r="G81" s="68" t="s">
        <v>54</v>
      </c>
      <c r="H81" s="68"/>
    </row>
    <row r="82" spans="1:8" ht="12.75">
      <c r="A82" s="135" t="s">
        <v>374</v>
      </c>
      <c r="B82" s="68" t="s">
        <v>61</v>
      </c>
      <c r="C82" s="241"/>
      <c r="D82" s="87"/>
      <c r="E82" s="89">
        <v>40</v>
      </c>
      <c r="F82" s="68" t="s">
        <v>56</v>
      </c>
      <c r="G82" s="68"/>
      <c r="H82" s="68">
        <f>E82*D82</f>
        <v>0</v>
      </c>
    </row>
    <row r="83" spans="1:8" ht="12.75">
      <c r="A83" s="135" t="s">
        <v>375</v>
      </c>
      <c r="B83" s="68" t="s">
        <v>61</v>
      </c>
      <c r="C83" s="241"/>
      <c r="D83" s="87"/>
      <c r="E83" s="89">
        <v>120</v>
      </c>
      <c r="F83" s="68" t="s">
        <v>56</v>
      </c>
      <c r="G83" s="68"/>
      <c r="H83" s="68">
        <f>E83*D83</f>
        <v>0</v>
      </c>
    </row>
    <row r="84" spans="1:8" ht="12.75">
      <c r="A84" s="135" t="s">
        <v>376</v>
      </c>
      <c r="B84" s="68" t="s">
        <v>61</v>
      </c>
      <c r="C84" s="241"/>
      <c r="D84" s="87"/>
      <c r="E84" s="89">
        <v>600</v>
      </c>
      <c r="F84" s="68" t="s">
        <v>56</v>
      </c>
      <c r="G84" s="68"/>
      <c r="H84" s="68">
        <f>E84*D84</f>
        <v>0</v>
      </c>
    </row>
    <row r="85" spans="1:8" ht="12.75">
      <c r="A85" s="135" t="s">
        <v>377</v>
      </c>
      <c r="B85" s="68" t="s">
        <v>61</v>
      </c>
      <c r="C85" s="241"/>
      <c r="D85" s="87"/>
      <c r="E85" s="89"/>
      <c r="F85" s="68" t="s">
        <v>56</v>
      </c>
      <c r="G85" s="68"/>
      <c r="H85" s="68">
        <f>E85*D85</f>
        <v>0</v>
      </c>
    </row>
    <row r="86" spans="1:8" ht="12.75">
      <c r="A86" s="135" t="s">
        <v>378</v>
      </c>
      <c r="B86" s="68" t="s">
        <v>62</v>
      </c>
      <c r="C86" s="241"/>
      <c r="D86" s="39"/>
      <c r="E86" s="89">
        <v>0.05</v>
      </c>
      <c r="F86" s="68" t="s">
        <v>63</v>
      </c>
      <c r="G86" s="68"/>
      <c r="H86" s="68">
        <f>IF($D$87&gt;0,D86*$E86*$D$87,D86*$E86*2)</f>
        <v>0</v>
      </c>
    </row>
    <row r="87" spans="1:8" ht="12.75">
      <c r="A87" s="173" t="s">
        <v>64</v>
      </c>
      <c r="B87" s="68" t="s">
        <v>65</v>
      </c>
      <c r="C87" s="241"/>
      <c r="D87" s="40"/>
      <c r="E87" s="240"/>
      <c r="F87" s="68"/>
      <c r="G87" s="68"/>
      <c r="H87" s="68"/>
    </row>
    <row r="88" spans="1:8" ht="12.75">
      <c r="A88" s="135" t="s">
        <v>379</v>
      </c>
      <c r="B88" s="68" t="s">
        <v>66</v>
      </c>
      <c r="C88" s="39"/>
      <c r="D88" s="239"/>
      <c r="E88" s="89"/>
      <c r="F88" s="68" t="s">
        <v>63</v>
      </c>
      <c r="G88" s="68">
        <f>IF($C$89&gt;0,IF(E88&gt;0,C88*$E88*$C$89,C88*0.02*$C$89),IF(E88&gt;0,C88*$E88*2,C88*2*0.02))</f>
        <v>0</v>
      </c>
      <c r="H88" s="68"/>
    </row>
    <row r="89" spans="1:8" ht="12.75">
      <c r="A89" s="173" t="s">
        <v>64</v>
      </c>
      <c r="B89" s="68" t="s">
        <v>67</v>
      </c>
      <c r="C89" s="40"/>
      <c r="D89" s="239"/>
      <c r="E89" s="240" t="s">
        <v>54</v>
      </c>
      <c r="F89" s="68" t="s">
        <v>54</v>
      </c>
      <c r="G89" s="68" t="s">
        <v>54</v>
      </c>
      <c r="H89" s="68"/>
    </row>
    <row r="90" spans="1:8" ht="12.75">
      <c r="A90" s="135" t="s">
        <v>380</v>
      </c>
      <c r="B90" s="68" t="s">
        <v>62</v>
      </c>
      <c r="C90" s="241"/>
      <c r="D90" s="87"/>
      <c r="E90" s="89">
        <v>0.4</v>
      </c>
      <c r="F90" s="68" t="s">
        <v>68</v>
      </c>
      <c r="G90" s="68"/>
      <c r="H90" s="68">
        <f>E90*D90</f>
        <v>0</v>
      </c>
    </row>
    <row r="91" spans="1:8" ht="12.75">
      <c r="A91" s="135" t="s">
        <v>381</v>
      </c>
      <c r="B91" s="68" t="s">
        <v>62</v>
      </c>
      <c r="C91" s="241"/>
      <c r="D91" s="87"/>
      <c r="E91" s="89">
        <v>1.2</v>
      </c>
      <c r="F91" s="68" t="s">
        <v>68</v>
      </c>
      <c r="G91" s="68"/>
      <c r="H91" s="68">
        <f>E91*D91</f>
        <v>0</v>
      </c>
    </row>
    <row r="92" spans="1:8" ht="12.75">
      <c r="A92" s="135" t="s">
        <v>326</v>
      </c>
      <c r="B92" s="162" t="s">
        <v>327</v>
      </c>
      <c r="C92" s="163"/>
      <c r="D92" s="239"/>
      <c r="E92" s="89">
        <f>1000*0.03165</f>
        <v>31.65</v>
      </c>
      <c r="F92" s="68" t="s">
        <v>68</v>
      </c>
      <c r="G92" s="68"/>
      <c r="H92" s="69">
        <f>C92*E92</f>
        <v>0</v>
      </c>
    </row>
    <row r="93" spans="1:8" ht="12.75">
      <c r="A93" s="165" t="s">
        <v>69</v>
      </c>
      <c r="B93" s="68" t="s">
        <v>56</v>
      </c>
      <c r="C93" s="91"/>
      <c r="D93" s="239"/>
      <c r="E93" s="89">
        <v>35</v>
      </c>
      <c r="F93" s="68" t="s">
        <v>56</v>
      </c>
      <c r="G93" s="68">
        <f>E93*C93</f>
        <v>0</v>
      </c>
      <c r="H93" s="68"/>
    </row>
    <row r="94" spans="1:8" ht="12.75">
      <c r="A94" s="165" t="s">
        <v>70</v>
      </c>
      <c r="B94" s="85" t="s">
        <v>71</v>
      </c>
      <c r="C94" s="241"/>
      <c r="D94" s="87"/>
      <c r="E94" s="240"/>
      <c r="F94" s="68" t="s">
        <v>54</v>
      </c>
      <c r="G94" s="68"/>
      <c r="H94" s="68">
        <f>D94</f>
        <v>0</v>
      </c>
    </row>
    <row r="95" spans="1:8" ht="12.75">
      <c r="A95" s="136" t="s">
        <v>72</v>
      </c>
      <c r="B95" s="67"/>
      <c r="C95" s="68"/>
      <c r="D95" s="68"/>
      <c r="E95" s="68"/>
      <c r="F95" s="68" t="s">
        <v>54</v>
      </c>
      <c r="G95" s="68">
        <f>SUM(G77:G94)</f>
        <v>0</v>
      </c>
      <c r="H95" s="68">
        <f>SUM(H77:H94)</f>
        <v>0</v>
      </c>
    </row>
    <row r="96" spans="1:8" ht="12.75">
      <c r="A96" s="135"/>
      <c r="B96" s="68"/>
      <c r="C96" s="68"/>
      <c r="D96" s="68"/>
      <c r="E96" s="68"/>
      <c r="F96" s="68"/>
      <c r="G96" s="68"/>
      <c r="H96" s="68"/>
    </row>
    <row r="97" spans="1:8" ht="12.75">
      <c r="A97" s="165"/>
      <c r="B97" s="67"/>
      <c r="C97" s="68"/>
      <c r="D97" s="68"/>
      <c r="E97" s="68"/>
      <c r="F97" s="68"/>
      <c r="G97" s="68"/>
      <c r="H97" s="68"/>
    </row>
    <row r="98" spans="1:8" ht="12.75">
      <c r="A98" s="136" t="s">
        <v>318</v>
      </c>
      <c r="B98" s="74">
        <f>0.001*(G95+H95)/200</f>
        <v>0</v>
      </c>
      <c r="C98" s="68" t="s">
        <v>74</v>
      </c>
      <c r="D98" s="68"/>
      <c r="E98" s="69"/>
      <c r="F98" s="68"/>
      <c r="G98" s="68"/>
      <c r="H98" s="68"/>
    </row>
    <row r="99" spans="1:8" ht="12.75">
      <c r="A99" s="73" t="s">
        <v>319</v>
      </c>
      <c r="B99" s="74">
        <f>0.001*(0.0219*H95+0.0074*G95)</f>
        <v>0</v>
      </c>
      <c r="C99" s="68" t="s">
        <v>74</v>
      </c>
      <c r="D99" s="68"/>
      <c r="E99" s="68"/>
      <c r="F99" s="68"/>
      <c r="G99" s="68"/>
      <c r="H99" s="68"/>
    </row>
    <row r="100" ht="12.75"/>
    <row r="101" ht="12.75">
      <c r="A101" s="20"/>
    </row>
    <row r="102" ht="12.75">
      <c r="A102" s="55" t="str">
        <f>A1</f>
        <v>Variant I</v>
      </c>
    </row>
    <row r="103" ht="12.75">
      <c r="A103" s="55" t="str">
        <f>A11</f>
        <v>M7 opp. wateremissies</v>
      </c>
    </row>
    <row r="104" spans="1:12" s="19" customFormat="1" ht="51">
      <c r="A104" s="170" t="str">
        <f>A41</f>
        <v>Verontreinigende stof</v>
      </c>
      <c r="B104" s="132" t="s">
        <v>394</v>
      </c>
      <c r="C104" s="132" t="s">
        <v>39</v>
      </c>
      <c r="D104" s="132" t="s">
        <v>24</v>
      </c>
      <c r="E104" s="132" t="s">
        <v>361</v>
      </c>
      <c r="J104" s="78"/>
      <c r="K104" s="78"/>
      <c r="L104" s="78"/>
    </row>
    <row r="105" spans="1:10" ht="12.75">
      <c r="A105" s="171"/>
      <c r="B105" s="205">
        <f>IF(INDEX(Normen!$A$12:$I$128,J105,9)&lt;&gt;"NB",0.5*(INDEX(Normen!$A$12:$I$128,J105,8)+INDEX(Normen!$A$12:$I$128,J105,9)),"NB")</f>
        <v>0</v>
      </c>
      <c r="C105" s="38"/>
      <c r="D105" s="38"/>
      <c r="E105" s="68">
        <f>IF(AND(B105&lt;&gt;"NB",B105&gt;0,C105&gt;INDEX(Normen!$A$12:$I$128,J105,8)),(C105)*D105/B105,0)</f>
        <v>0</v>
      </c>
      <c r="J105" s="242">
        <v>1</v>
      </c>
    </row>
    <row r="106" spans="1:10" ht="12.75">
      <c r="A106" s="171"/>
      <c r="B106" s="205">
        <f>IF(INDEX(Normen!$A$12:$I$128,J106,9)&lt;&gt;"NB",0.5*(INDEX(Normen!$A$12:$I$128,J106,8)+INDEX(Normen!$A$12:$I$128,J106,9)),"NB")</f>
        <v>0</v>
      </c>
      <c r="C106" s="38"/>
      <c r="D106" s="38"/>
      <c r="E106" s="68">
        <f>IF(AND(B106&lt;&gt;"NB",B106&gt;0,C106&gt;INDEX(Normen!$A$12:$I$128,J106,8)),(C106)*D106/B106,0)</f>
        <v>0</v>
      </c>
      <c r="J106" s="242">
        <v>1</v>
      </c>
    </row>
    <row r="107" spans="1:10" ht="12.75">
      <c r="A107" s="171"/>
      <c r="B107" s="205">
        <f>IF(INDEX(Normen!$A$12:$I$128,J107,9)&lt;&gt;"NB",0.5*(INDEX(Normen!$A$12:$I$128,J107,8)+INDEX(Normen!$A$12:$I$128,J107,9)),"NB")</f>
        <v>0</v>
      </c>
      <c r="C107" s="38"/>
      <c r="D107" s="38"/>
      <c r="E107" s="68">
        <f>IF(AND(B107&lt;&gt;"NB",B107&gt;0,C107&gt;INDEX(Normen!$A$12:$I$128,J107,8)),(C107)*D107/B107,0)</f>
        <v>0</v>
      </c>
      <c r="J107" s="242">
        <v>1</v>
      </c>
    </row>
    <row r="108" spans="1:10" ht="12.75">
      <c r="A108" s="171"/>
      <c r="B108" s="205">
        <f>IF(INDEX(Normen!$A$12:$I$128,J108,9)&lt;&gt;"NB",0.5*(INDEX(Normen!$A$12:$I$128,J108,8)+INDEX(Normen!$A$12:$I$128,J108,9)),"NB")</f>
        <v>0</v>
      </c>
      <c r="C108" s="38"/>
      <c r="D108" s="38"/>
      <c r="E108" s="68">
        <f>IF(AND(B108&lt;&gt;"NB",B108&gt;0,C108&gt;INDEX(Normen!$A$12:$I$128,J108,8)),(C108)*D108/B108,0)</f>
        <v>0</v>
      </c>
      <c r="J108" s="242">
        <v>1</v>
      </c>
    </row>
    <row r="109" spans="1:10" ht="12.75">
      <c r="A109" s="171"/>
      <c r="B109" s="205">
        <f>IF(INDEX(Normen!$A$12:$I$128,J109,9)&lt;&gt;"NB",0.5*(INDEX(Normen!$A$12:$I$128,J109,8)+INDEX(Normen!$A$12:$I$128,J109,9)),"NB")</f>
        <v>0</v>
      </c>
      <c r="C109" s="38"/>
      <c r="D109" s="38"/>
      <c r="E109" s="68">
        <f>IF(AND(B109&lt;&gt;"NB",B109&gt;0,C109&gt;INDEX(Normen!$A$12:$I$128,J109,8)),(C109)*D109/B109,0)</f>
        <v>0</v>
      </c>
      <c r="J109" s="242">
        <v>1</v>
      </c>
    </row>
    <row r="110" spans="1:10" ht="12.75">
      <c r="A110" s="171"/>
      <c r="B110" s="205">
        <f>IF(INDEX(Normen!$A$12:$I$128,J110,9)&lt;&gt;"NB",0.5*(INDEX(Normen!$A$12:$I$128,J110,8)+INDEX(Normen!$A$12:$I$128,J110,9)),"NB")</f>
        <v>0</v>
      </c>
      <c r="C110" s="38"/>
      <c r="D110" s="38"/>
      <c r="E110" s="68">
        <f>IF(AND(B110&lt;&gt;"NB",B110&gt;0,C110&gt;INDEX(Normen!$A$12:$I$128,J110,8)),(C110)*D110/B110,0)</f>
        <v>0</v>
      </c>
      <c r="J110" s="242">
        <v>1</v>
      </c>
    </row>
    <row r="111" spans="1:10" ht="12.75">
      <c r="A111" s="171"/>
      <c r="B111" s="205">
        <f>IF(INDEX(Normen!$A$12:$I$128,J111,9)&lt;&gt;"NB",0.5*(INDEX(Normen!$A$12:$I$128,J111,8)+INDEX(Normen!$A$12:$I$128,J111,9)),"NB")</f>
        <v>0</v>
      </c>
      <c r="C111" s="38"/>
      <c r="D111" s="38"/>
      <c r="E111" s="68">
        <f>IF(AND(B111&lt;&gt;"NB",B111&gt;0,C111&gt;INDEX(Normen!$A$12:$I$128,J111,8)),(C111)*D111/B111,0)</f>
        <v>0</v>
      </c>
      <c r="J111" s="242">
        <v>1</v>
      </c>
    </row>
    <row r="112" spans="1:5" ht="12.75">
      <c r="A112" s="171"/>
      <c r="B112" s="205"/>
      <c r="C112" s="38"/>
      <c r="D112" s="38"/>
      <c r="E112" s="68">
        <f>IF(AND(B112&lt;&gt;"NB",B112&gt;0,C112&gt;INDEX(Normen!$A$12:$I$128,J112,8)),(C112)*D112/B112,0)</f>
        <v>0</v>
      </c>
    </row>
    <row r="113" spans="1:5" ht="12.75">
      <c r="A113" s="171"/>
      <c r="B113" s="205"/>
      <c r="C113" s="38"/>
      <c r="D113" s="38"/>
      <c r="E113" s="68">
        <f>IF(AND(B113&lt;&gt;"NB",B113&gt;0,C113&gt;INDEX(Normen!$A$12:$I$128,J113,8)),(C113)*D113/B113,0)</f>
        <v>0</v>
      </c>
    </row>
    <row r="114" spans="1:5" ht="12.75">
      <c r="A114" s="171"/>
      <c r="B114" s="205"/>
      <c r="C114" s="38"/>
      <c r="D114" s="38"/>
      <c r="E114" s="68">
        <f>IF(AND(B114&lt;&gt;"NB",B114&gt;0,C114&gt;INDEX(Normen!$A$12:$I$128,J114,8)),(C114)*D114/B114,0)</f>
        <v>0</v>
      </c>
    </row>
    <row r="115" spans="1:5" ht="12.75">
      <c r="A115" s="171"/>
      <c r="B115" s="205"/>
      <c r="C115" s="38"/>
      <c r="D115" s="38"/>
      <c r="E115" s="68">
        <f>IF(AND(B115&lt;&gt;"NB",B115&gt;0,C115&gt;INDEX(Normen!$A$12:$I$128,J115,8)),(C115)*D115/B115,0)</f>
        <v>0</v>
      </c>
    </row>
    <row r="116" spans="1:5" ht="12.75">
      <c r="A116" s="165"/>
      <c r="B116" s="68"/>
      <c r="C116" s="68"/>
      <c r="D116" s="68"/>
      <c r="E116" s="68"/>
    </row>
    <row r="117" spans="1:5" ht="12.75">
      <c r="A117" s="136" t="str">
        <f>A103</f>
        <v>M7 opp. wateremissies</v>
      </c>
      <c r="B117" s="74">
        <f>SUM(E105:E114)</f>
        <v>0</v>
      </c>
      <c r="C117" s="68"/>
      <c r="D117" s="68"/>
      <c r="E117" s="68"/>
    </row>
    <row r="118" ht="12.75"/>
    <row r="119" ht="12.75">
      <c r="A119" s="20"/>
    </row>
    <row r="120" ht="12.75">
      <c r="A120" s="55" t="str">
        <f>A1</f>
        <v>Variant I</v>
      </c>
    </row>
    <row r="121" ht="12.75">
      <c r="A121" s="55" t="str">
        <f>A12</f>
        <v>M8 afvalvorming</v>
      </c>
    </row>
    <row r="122" spans="1:2" ht="12.75">
      <c r="A122" s="165" t="s">
        <v>75</v>
      </c>
      <c r="B122" s="38"/>
    </row>
    <row r="123" spans="1:2" ht="12.75">
      <c r="A123" s="165" t="s">
        <v>76</v>
      </c>
      <c r="B123" s="38"/>
    </row>
    <row r="124" spans="1:2" ht="12.75">
      <c r="A124" s="165" t="s">
        <v>77</v>
      </c>
      <c r="B124" s="38"/>
    </row>
    <row r="125" spans="1:2" ht="12.75">
      <c r="A125" s="165"/>
      <c r="B125" s="71"/>
    </row>
    <row r="126" spans="1:2" ht="12.75">
      <c r="A126" s="165"/>
      <c r="B126" s="71"/>
    </row>
    <row r="127" spans="1:2" ht="12.75">
      <c r="A127" s="136" t="str">
        <f>A121</f>
        <v>M8 afvalvorming</v>
      </c>
      <c r="B127" s="74">
        <f>SUM(B122:B124)</f>
        <v>0</v>
      </c>
    </row>
    <row r="128" ht="12.75"/>
    <row r="129" ht="12.75">
      <c r="A129" s="20"/>
    </row>
    <row r="130" ht="12.75">
      <c r="A130" s="55" t="str">
        <f>A1</f>
        <v>Variant I</v>
      </c>
    </row>
    <row r="131" ht="12.75">
      <c r="A131" s="55" t="str">
        <f>A13</f>
        <v>M9 ruimtebeslag</v>
      </c>
    </row>
    <row r="132" spans="1:6" ht="12.75">
      <c r="A132" s="169"/>
      <c r="B132" s="168" t="s">
        <v>78</v>
      </c>
      <c r="C132" s="168" t="s">
        <v>79</v>
      </c>
      <c r="D132" s="168" t="s">
        <v>80</v>
      </c>
      <c r="E132" s="168" t="s">
        <v>81</v>
      </c>
      <c r="F132" s="168" t="s">
        <v>82</v>
      </c>
    </row>
    <row r="133" spans="1:6" ht="12.75">
      <c r="A133" s="165" t="s">
        <v>83</v>
      </c>
      <c r="B133" s="38"/>
      <c r="C133" s="38"/>
      <c r="D133" s="38"/>
      <c r="E133" s="38"/>
      <c r="F133" s="38"/>
    </row>
    <row r="134" spans="1:6" ht="12.75">
      <c r="A134" s="165" t="s">
        <v>84</v>
      </c>
      <c r="B134" s="38"/>
      <c r="C134" s="38"/>
      <c r="D134" s="38"/>
      <c r="E134" s="38"/>
      <c r="F134" s="38"/>
    </row>
    <row r="135" spans="1:6" ht="12.75">
      <c r="A135" s="136" t="s">
        <v>85</v>
      </c>
      <c r="B135" s="68">
        <f>B133*B134</f>
        <v>0</v>
      </c>
      <c r="C135" s="68">
        <f>C133*C134</f>
        <v>0</v>
      </c>
      <c r="D135" s="68">
        <f>D133*D134</f>
        <v>0</v>
      </c>
      <c r="E135" s="68">
        <f>E133*E134</f>
        <v>0</v>
      </c>
      <c r="F135" s="68">
        <f>F133*F134</f>
        <v>0</v>
      </c>
    </row>
    <row r="136" spans="1:6" ht="12.75">
      <c r="A136" s="165"/>
      <c r="B136" s="74" t="str">
        <f>IF(B134&gt;30,"Maximaal 30 invullen!!"," ")</f>
        <v> </v>
      </c>
      <c r="C136" s="74" t="str">
        <f>IF(C134&gt;30,"Maximaal 30 invullen!!"," ")</f>
        <v> </v>
      </c>
      <c r="D136" s="74" t="str">
        <f>IF(D134&gt;30,"Maximaal 30 invullen!!"," ")</f>
        <v> </v>
      </c>
      <c r="E136" s="74" t="str">
        <f>IF(E134&gt;30,"Maximaal 30 invullen!!"," ")</f>
        <v> </v>
      </c>
      <c r="F136" s="74" t="str">
        <f>IF(F134&gt;30,"Maximaal 30 invullen!!"," ")</f>
        <v> </v>
      </c>
    </row>
    <row r="137" spans="1:6" ht="12.75">
      <c r="A137" s="136" t="str">
        <f>A131</f>
        <v>M9 ruimtebeslag</v>
      </c>
      <c r="B137" s="74">
        <f>SUM(B135:F135)</f>
        <v>0</v>
      </c>
      <c r="C137" s="68"/>
      <c r="D137" s="68"/>
      <c r="E137" s="68"/>
      <c r="F137" s="68"/>
    </row>
    <row r="138" ht="12.75"/>
    <row r="139" ht="12.75"/>
    <row r="140" ht="12.75">
      <c r="A140" s="55" t="str">
        <f>A1</f>
        <v>Variant I</v>
      </c>
    </row>
    <row r="141" spans="1:14" s="19" customFormat="1" ht="12.75">
      <c r="A141" s="164" t="str">
        <f>A16</f>
        <v>Effectenoverzicht</v>
      </c>
      <c r="B141" s="132" t="s">
        <v>51</v>
      </c>
      <c r="C141" s="132" t="s">
        <v>86</v>
      </c>
      <c r="J141" s="78"/>
      <c r="K141" s="78"/>
      <c r="L141" s="78"/>
      <c r="M141" s="79"/>
      <c r="N141" s="80"/>
    </row>
    <row r="142" spans="1:14" ht="12.75">
      <c r="A142" s="165" t="str">
        <f>A36</f>
        <v>M1 grondkwaliteit</v>
      </c>
      <c r="B142" s="68" t="s">
        <v>360</v>
      </c>
      <c r="C142" s="92">
        <f>B36/1000</f>
        <v>0</v>
      </c>
      <c r="D142" s="51"/>
      <c r="F142" s="81"/>
      <c r="M142" s="82"/>
      <c r="N142" s="83"/>
    </row>
    <row r="143" spans="1:14" ht="12.75">
      <c r="A143" s="165" t="str">
        <f>A54</f>
        <v>M2 grondwaterkwaliteit</v>
      </c>
      <c r="B143" s="68" t="s">
        <v>360</v>
      </c>
      <c r="C143" s="92">
        <f>B54/1000</f>
        <v>0</v>
      </c>
      <c r="D143" s="51"/>
      <c r="F143" s="81"/>
      <c r="M143" s="82"/>
      <c r="N143" s="83"/>
    </row>
    <row r="144" spans="1:14" ht="14.25">
      <c r="A144" s="165" t="str">
        <f>A62</f>
        <v>M3 verlies grond</v>
      </c>
      <c r="B144" s="68" t="s">
        <v>87</v>
      </c>
      <c r="C144" s="92">
        <f>(-B62)</f>
        <v>0</v>
      </c>
      <c r="E144" s="51"/>
      <c r="F144" s="81"/>
      <c r="M144" s="82"/>
      <c r="N144" s="83"/>
    </row>
    <row r="145" spans="1:14" ht="14.25">
      <c r="A145" s="165" t="str">
        <f>A70</f>
        <v>M4 verlies grondwater</v>
      </c>
      <c r="B145" s="68" t="s">
        <v>88</v>
      </c>
      <c r="C145" s="92">
        <f>-B70/1000</f>
        <v>0</v>
      </c>
      <c r="E145" s="51"/>
      <c r="F145" s="81"/>
      <c r="M145" s="82"/>
      <c r="N145" s="83"/>
    </row>
    <row r="146" spans="1:14" ht="12.75">
      <c r="A146" s="165" t="str">
        <f>A98</f>
        <v>M5 energiegebruik</v>
      </c>
      <c r="B146" s="68" t="str">
        <f>C98</f>
        <v>inw.eq</v>
      </c>
      <c r="C146" s="69">
        <f>-B98</f>
        <v>0</v>
      </c>
      <c r="E146" s="51"/>
      <c r="F146" s="81"/>
      <c r="M146" s="82"/>
      <c r="N146" s="83"/>
    </row>
    <row r="147" spans="1:14" ht="12.75">
      <c r="A147" s="165" t="str">
        <f>A99</f>
        <v>M6 luchtemissies</v>
      </c>
      <c r="B147" s="68" t="s">
        <v>74</v>
      </c>
      <c r="C147" s="69">
        <f>-B99</f>
        <v>0</v>
      </c>
      <c r="E147" s="51"/>
      <c r="F147" s="81"/>
      <c r="M147" s="82"/>
      <c r="N147" s="83"/>
    </row>
    <row r="148" spans="1:14" ht="12.75">
      <c r="A148" s="165" t="str">
        <f>A117</f>
        <v>M7 opp. wateremissies</v>
      </c>
      <c r="B148" s="68" t="s">
        <v>360</v>
      </c>
      <c r="C148" s="69">
        <f>-B117/1000</f>
        <v>0</v>
      </c>
      <c r="E148" s="51"/>
      <c r="F148" s="81"/>
      <c r="M148" s="82"/>
      <c r="N148" s="83"/>
    </row>
    <row r="149" spans="1:14" ht="14.25">
      <c r="A149" s="165" t="str">
        <f>A127</f>
        <v>M8 afvalvorming</v>
      </c>
      <c r="B149" s="68" t="s">
        <v>87</v>
      </c>
      <c r="C149" s="69">
        <f>-B127</f>
        <v>0</v>
      </c>
      <c r="E149" s="51"/>
      <c r="F149" s="81"/>
      <c r="M149" s="82"/>
      <c r="N149" s="83"/>
    </row>
    <row r="150" spans="1:14" ht="14.25">
      <c r="A150" s="165" t="str">
        <f>A137</f>
        <v>M9 ruimtebeslag</v>
      </c>
      <c r="B150" s="68" t="s">
        <v>89</v>
      </c>
      <c r="C150" s="69">
        <f>-B137</f>
        <v>0</v>
      </c>
      <c r="E150" s="51"/>
      <c r="F150" s="81"/>
      <c r="M150" s="82"/>
      <c r="N150" s="83"/>
    </row>
    <row r="151" ht="12.75">
      <c r="A151" s="58"/>
    </row>
    <row r="154" ht="12.75"/>
    <row r="155" ht="12.75"/>
    <row r="156" ht="12.75"/>
  </sheetData>
  <sheetProtection sheet="1" scenarios="1"/>
  <printOptions/>
  <pageMargins left="0.5905511811023623" right="0.5905511811023623" top="0.984251968503937" bottom="0.984251968503937" header="0.5118110236220472" footer="0.5118110236220472"/>
  <pageSetup fitToHeight="3" fitToWidth="1" horizontalDpi="300" verticalDpi="300" orientation="portrait" paperSize="9" scale="94" r:id="rId3"/>
  <headerFooter alignWithMargins="0">
    <oddHeader>&amp;C&amp;F</oddHeader>
    <oddFooter>&amp;CMilieuverdienste in RMK</oddFooter>
  </headerFooter>
  <legacyDrawing r:id="rId2"/>
</worksheet>
</file>

<file path=xl/worksheets/sheet5.xml><?xml version="1.0" encoding="utf-8"?>
<worksheet xmlns="http://schemas.openxmlformats.org/spreadsheetml/2006/main" xmlns:r="http://schemas.openxmlformats.org/officeDocument/2006/relationships">
  <sheetPr codeName="Sheet7">
    <pageSetUpPr fitToPage="1"/>
  </sheetPr>
  <dimension ref="A1:N151"/>
  <sheetViews>
    <sheetView showGridLines="0" zoomScale="90" zoomScaleNormal="90" workbookViewId="0" topLeftCell="A1">
      <selection activeCell="A2" sqref="A2"/>
    </sheetView>
  </sheetViews>
  <sheetFormatPr defaultColWidth="9.140625" defaultRowHeight="12.75"/>
  <cols>
    <col min="1" max="1" width="27.7109375" style="56" customWidth="1"/>
    <col min="2" max="2" width="10.28125" style="20" customWidth="1"/>
    <col min="3" max="3" width="9.421875" style="20" customWidth="1"/>
    <col min="4" max="4" width="11.7109375" style="20" customWidth="1"/>
    <col min="5" max="5" width="8.00390625" style="20" customWidth="1"/>
    <col min="6" max="6" width="9.421875" style="20" customWidth="1"/>
    <col min="7" max="7" width="10.140625" style="20" customWidth="1"/>
    <col min="8" max="8" width="10.8515625" style="20" customWidth="1"/>
    <col min="9" max="9" width="0" style="20" hidden="1" customWidth="1"/>
    <col min="10" max="10" width="6.28125" style="52" hidden="1" customWidth="1"/>
    <col min="11" max="12" width="5.140625" style="52" hidden="1" customWidth="1"/>
    <col min="13" max="15" width="8.8515625" style="20" customWidth="1"/>
    <col min="16" max="16" width="13.421875" style="20" customWidth="1"/>
    <col min="17" max="17" width="10.57421875" style="20" customWidth="1"/>
    <col min="18" max="16384" width="8.8515625" style="20" customWidth="1"/>
  </cols>
  <sheetData>
    <row r="1" spans="1:2" ht="18">
      <c r="A1" s="75" t="str">
        <f>Inhoud!E12</f>
        <v>Variant II</v>
      </c>
      <c r="B1" s="100" t="s">
        <v>41</v>
      </c>
    </row>
    <row r="2" ht="12.75"/>
    <row r="3" ht="12.75">
      <c r="A3" s="62" t="str">
        <f>Huidig!A3</f>
        <v>Terug naar inhoud:</v>
      </c>
    </row>
    <row r="4" ht="12.75">
      <c r="A4" s="55" t="s">
        <v>42</v>
      </c>
    </row>
    <row r="5" ht="12.75">
      <c r="A5" s="55" t="s">
        <v>20</v>
      </c>
    </row>
    <row r="6" ht="12.75">
      <c r="A6" s="56" t="s">
        <v>320</v>
      </c>
    </row>
    <row r="7" ht="12.75">
      <c r="A7" s="56" t="s">
        <v>321</v>
      </c>
    </row>
    <row r="8" ht="12.75">
      <c r="A8" s="56" t="s">
        <v>322</v>
      </c>
    </row>
    <row r="9" ht="12.75">
      <c r="A9" s="56" t="s">
        <v>323</v>
      </c>
    </row>
    <row r="10" ht="12.75">
      <c r="A10" s="56" t="s">
        <v>382</v>
      </c>
    </row>
    <row r="11" ht="12.75">
      <c r="A11" s="56" t="s">
        <v>316</v>
      </c>
    </row>
    <row r="12" ht="12.75">
      <c r="A12" s="56" t="s">
        <v>406</v>
      </c>
    </row>
    <row r="13" ht="12.75">
      <c r="A13" s="56" t="s">
        <v>317</v>
      </c>
    </row>
    <row r="14" ht="12.75"/>
    <row r="15" ht="12.75">
      <c r="A15" s="55" t="s">
        <v>296</v>
      </c>
    </row>
    <row r="16" ht="12.75">
      <c r="A16" s="56" t="s">
        <v>277</v>
      </c>
    </row>
    <row r="17" ht="12.75"/>
    <row r="18" ht="12.75"/>
    <row r="19" spans="1:12" s="176" customFormat="1" ht="12.75">
      <c r="A19" s="175"/>
      <c r="J19" s="177"/>
      <c r="K19" s="177"/>
      <c r="L19" s="177"/>
    </row>
    <row r="20" spans="1:12" s="76" customFormat="1" ht="12.75">
      <c r="A20" s="166"/>
      <c r="J20" s="167"/>
      <c r="K20" s="167"/>
      <c r="L20" s="167"/>
    </row>
    <row r="21" ht="12.75">
      <c r="A21" s="55" t="str">
        <f>A1</f>
        <v>Variant II</v>
      </c>
    </row>
    <row r="22" ht="12.75">
      <c r="A22" s="55" t="str">
        <f>A6</f>
        <v>M1 grondkwaliteit</v>
      </c>
    </row>
    <row r="23" spans="1:12" s="19" customFormat="1" ht="24" customHeight="1">
      <c r="A23" s="170" t="str">
        <f>Huidig!A24</f>
        <v>Verontreinigende stof</v>
      </c>
      <c r="B23" s="132" t="str">
        <f>Huidig!B24</f>
        <v>s' [mg/kg]</v>
      </c>
      <c r="C23" s="132" t="str">
        <f>Huidig!C24</f>
        <v>i' [mg/kg]</v>
      </c>
      <c r="D23" s="132" t="s">
        <v>418</v>
      </c>
      <c r="E23" s="132" t="str">
        <f>Huidig!G24</f>
        <v>lut. [%]</v>
      </c>
      <c r="F23" s="132" t="s">
        <v>43</v>
      </c>
      <c r="G23" s="132" t="str">
        <f>Huidig!I24</f>
        <v>Grond- kubels [m3]</v>
      </c>
      <c r="H23" s="132" t="s">
        <v>329</v>
      </c>
      <c r="J23" s="131" t="str">
        <f>Huidig!L24</f>
        <v>s</v>
      </c>
      <c r="K23" s="131" t="str">
        <f>Huidig!M24</f>
        <v>i</v>
      </c>
      <c r="L23" s="131" t="str">
        <f>Huidig!N24</f>
        <v>t'</v>
      </c>
    </row>
    <row r="24" spans="1:12" ht="12.75">
      <c r="A24" s="165">
        <f>IF(Huidig!$O25&gt;1,INDEX(Normen!$A$12:$C$128,Huidig!$O25,1),"")</f>
      </c>
      <c r="B24" s="69">
        <f aca="true" t="shared" si="0" ref="B24:B34">J24</f>
        <v>0</v>
      </c>
      <c r="C24" s="69">
        <f aca="true" t="shared" si="1" ref="C24:C34">K24</f>
        <v>0</v>
      </c>
      <c r="D24" s="38">
        <f>30*Huidig!D25</f>
        <v>0</v>
      </c>
      <c r="E24" s="68">
        <f>Huidig!G25</f>
        <v>25</v>
      </c>
      <c r="F24" s="68">
        <f>Huidig!S25</f>
        <v>10</v>
      </c>
      <c r="G24" s="71">
        <f>IF(D24&gt;0,1000000*D24/(30*L24),0)</f>
        <v>0</v>
      </c>
      <c r="H24" s="71">
        <f>Huidig!J25-0.0000017*D24/30</f>
        <v>0</v>
      </c>
      <c r="J24" s="77">
        <f>Huidig!B25</f>
        <v>0</v>
      </c>
      <c r="K24" s="77">
        <f>Huidig!C25</f>
        <v>0</v>
      </c>
      <c r="L24" s="77">
        <f>Huidig!N25</f>
        <v>0</v>
      </c>
    </row>
    <row r="25" spans="1:12" ht="12.75">
      <c r="A25" s="165">
        <f>IF(Huidig!$O26&gt;1,INDEX(Normen!$A$12:$C$128,Huidig!$O26,1),"")</f>
      </c>
      <c r="B25" s="69">
        <f t="shared" si="0"/>
        <v>0</v>
      </c>
      <c r="C25" s="69">
        <f t="shared" si="1"/>
        <v>0</v>
      </c>
      <c r="D25" s="38">
        <f>30*Huidig!D26</f>
        <v>0</v>
      </c>
      <c r="E25" s="68">
        <f>Huidig!G26</f>
        <v>25</v>
      </c>
      <c r="F25" s="68">
        <f>Huidig!S26</f>
        <v>10</v>
      </c>
      <c r="G25" s="71">
        <f aca="true" t="shared" si="2" ref="G25:G34">IF(D25&gt;0,1000000*D25/(30*L25),0)</f>
        <v>0</v>
      </c>
      <c r="H25" s="71">
        <f>Huidig!J26-0.0000017*D25/30</f>
        <v>0</v>
      </c>
      <c r="J25" s="77">
        <f>Huidig!B26</f>
        <v>0</v>
      </c>
      <c r="K25" s="77">
        <f>Huidig!C26</f>
        <v>0</v>
      </c>
      <c r="L25" s="77">
        <f>Huidig!N26</f>
        <v>0</v>
      </c>
    </row>
    <row r="26" spans="1:12" ht="12.75">
      <c r="A26" s="165">
        <f>IF(Huidig!$O27&gt;1,INDEX(Normen!$A$12:$C$128,Huidig!$O27,1),"")</f>
      </c>
      <c r="B26" s="69">
        <f t="shared" si="0"/>
        <v>0</v>
      </c>
      <c r="C26" s="69">
        <f t="shared" si="1"/>
        <v>0</v>
      </c>
      <c r="D26" s="38">
        <f>30*Huidig!D27</f>
        <v>0</v>
      </c>
      <c r="E26" s="68">
        <f>Huidig!G27</f>
        <v>25</v>
      </c>
      <c r="F26" s="68">
        <f>Huidig!S27</f>
        <v>10</v>
      </c>
      <c r="G26" s="71">
        <f t="shared" si="2"/>
        <v>0</v>
      </c>
      <c r="H26" s="71">
        <f>Huidig!J27-0.0000017*D26/30</f>
        <v>0</v>
      </c>
      <c r="J26" s="77">
        <f>Huidig!B27</f>
        <v>0</v>
      </c>
      <c r="K26" s="77">
        <f>Huidig!C27</f>
        <v>0</v>
      </c>
      <c r="L26" s="77">
        <f>Huidig!N27</f>
        <v>0</v>
      </c>
    </row>
    <row r="27" spans="1:12" ht="12.75">
      <c r="A27" s="165">
        <f>IF(Huidig!$O28&gt;1,INDEX(Normen!$A$12:$C$128,Huidig!$O28,1),"")</f>
      </c>
      <c r="B27" s="69">
        <f t="shared" si="0"/>
        <v>0</v>
      </c>
      <c r="C27" s="69">
        <f t="shared" si="1"/>
        <v>0</v>
      </c>
      <c r="D27" s="38">
        <f>30*Huidig!D28</f>
        <v>0</v>
      </c>
      <c r="E27" s="68">
        <f>Huidig!G28</f>
        <v>25</v>
      </c>
      <c r="F27" s="68">
        <f>Huidig!S28</f>
        <v>10</v>
      </c>
      <c r="G27" s="71">
        <f t="shared" si="2"/>
        <v>0</v>
      </c>
      <c r="H27" s="71">
        <f>Huidig!J28-0.0000017*D27/30</f>
        <v>0</v>
      </c>
      <c r="J27" s="77">
        <f>Huidig!B28</f>
        <v>0</v>
      </c>
      <c r="K27" s="77">
        <f>Huidig!C28</f>
        <v>0</v>
      </c>
      <c r="L27" s="77">
        <f>Huidig!N28</f>
        <v>0</v>
      </c>
    </row>
    <row r="28" spans="1:12" ht="12.75">
      <c r="A28" s="165">
        <f>IF(Huidig!$O29&gt;1,INDEX(Normen!$A$12:$C$128,Huidig!$O29,1),"")</f>
      </c>
      <c r="B28" s="69">
        <f t="shared" si="0"/>
        <v>0</v>
      </c>
      <c r="C28" s="69">
        <f t="shared" si="1"/>
        <v>0</v>
      </c>
      <c r="D28" s="38">
        <f>30*Huidig!D29</f>
        <v>0</v>
      </c>
      <c r="E28" s="68">
        <f>Huidig!G29</f>
        <v>25</v>
      </c>
      <c r="F28" s="68">
        <f>Huidig!S29</f>
        <v>10</v>
      </c>
      <c r="G28" s="71">
        <f t="shared" si="2"/>
        <v>0</v>
      </c>
      <c r="H28" s="71">
        <f>Huidig!J29-0.0000017*D28/30</f>
        <v>0</v>
      </c>
      <c r="J28" s="77">
        <f>Huidig!B29</f>
        <v>0</v>
      </c>
      <c r="K28" s="77">
        <f>Huidig!C29</f>
        <v>0</v>
      </c>
      <c r="L28" s="77">
        <f>Huidig!N29</f>
        <v>0</v>
      </c>
    </row>
    <row r="29" spans="1:12" ht="12.75">
      <c r="A29" s="165">
        <f>IF(Huidig!$O30&gt;1,INDEX(Normen!$A$12:$C$128,Huidig!$O30,1),"")</f>
      </c>
      <c r="B29" s="69">
        <f t="shared" si="0"/>
        <v>0</v>
      </c>
      <c r="C29" s="69">
        <f t="shared" si="1"/>
        <v>0</v>
      </c>
      <c r="D29" s="38">
        <f>30*Huidig!D30</f>
        <v>0</v>
      </c>
      <c r="E29" s="68">
        <f>Huidig!G30</f>
        <v>25</v>
      </c>
      <c r="F29" s="68">
        <f>Huidig!S30</f>
        <v>10</v>
      </c>
      <c r="G29" s="71">
        <f t="shared" si="2"/>
        <v>0</v>
      </c>
      <c r="H29" s="71">
        <f>Huidig!J30-0.0000017*D29/30</f>
        <v>0</v>
      </c>
      <c r="J29" s="77">
        <f>Huidig!B30</f>
        <v>0</v>
      </c>
      <c r="K29" s="77">
        <f>Huidig!C30</f>
        <v>0</v>
      </c>
      <c r="L29" s="77">
        <f>Huidig!N30</f>
        <v>0</v>
      </c>
    </row>
    <row r="30" spans="1:12" ht="12.75">
      <c r="A30" s="165">
        <f>IF(Huidig!$O31&gt;1,INDEX(Normen!$A$12:$C$128,Huidig!$O31,1),"")</f>
      </c>
      <c r="B30" s="69">
        <f t="shared" si="0"/>
        <v>0</v>
      </c>
      <c r="C30" s="69">
        <f t="shared" si="1"/>
        <v>0</v>
      </c>
      <c r="D30" s="38">
        <f>30*Huidig!D31</f>
        <v>0</v>
      </c>
      <c r="E30" s="68">
        <f>Huidig!G31</f>
        <v>25</v>
      </c>
      <c r="F30" s="68">
        <f>Huidig!S31</f>
        <v>10</v>
      </c>
      <c r="G30" s="71">
        <f t="shared" si="2"/>
        <v>0</v>
      </c>
      <c r="H30" s="71">
        <f>Huidig!J31-0.0000017*D30/30</f>
        <v>0</v>
      </c>
      <c r="J30" s="77">
        <f>Huidig!B31</f>
        <v>0</v>
      </c>
      <c r="K30" s="77">
        <f>Huidig!C31</f>
        <v>0</v>
      </c>
      <c r="L30" s="77">
        <f>Huidig!N31</f>
        <v>0</v>
      </c>
    </row>
    <row r="31" spans="1:12" ht="12.75">
      <c r="A31" s="165">
        <f>IF(Huidig!$O32&gt;1,INDEX(Normen!$A$12:$C$128,Huidig!$O32,1),"")</f>
      </c>
      <c r="B31" s="69">
        <f t="shared" si="0"/>
        <v>0</v>
      </c>
      <c r="C31" s="69">
        <f t="shared" si="1"/>
        <v>0</v>
      </c>
      <c r="D31" s="38">
        <f>30*Huidig!D32</f>
        <v>0</v>
      </c>
      <c r="E31" s="68">
        <f>Huidig!G32</f>
        <v>25</v>
      </c>
      <c r="F31" s="68">
        <f>Huidig!S32</f>
        <v>10</v>
      </c>
      <c r="G31" s="71">
        <f t="shared" si="2"/>
        <v>0</v>
      </c>
      <c r="H31" s="71">
        <f>Huidig!J32-0.0000017*D31/30</f>
        <v>0</v>
      </c>
      <c r="J31" s="77">
        <f>Huidig!B32</f>
        <v>0</v>
      </c>
      <c r="K31" s="77">
        <f>Huidig!C32</f>
        <v>0</v>
      </c>
      <c r="L31" s="77">
        <f>Huidig!N32</f>
        <v>0</v>
      </c>
    </row>
    <row r="32" spans="1:12" ht="12.75">
      <c r="A32" s="165">
        <f>IF(Huidig!A33="Type een verontreiniging:","",Huidig!A33)</f>
      </c>
      <c r="B32" s="69">
        <f t="shared" si="0"/>
        <v>0</v>
      </c>
      <c r="C32" s="69">
        <f t="shared" si="1"/>
        <v>0</v>
      </c>
      <c r="D32" s="38">
        <f>30*Huidig!D33</f>
        <v>0</v>
      </c>
      <c r="E32" s="68"/>
      <c r="F32" s="68"/>
      <c r="G32" s="71">
        <f t="shared" si="2"/>
        <v>0</v>
      </c>
      <c r="H32" s="71">
        <f>Huidig!J33-0.0000017*D32/30</f>
        <v>0</v>
      </c>
      <c r="J32" s="77">
        <f>Huidig!B33</f>
        <v>0</v>
      </c>
      <c r="K32" s="77">
        <f>Huidig!C33</f>
        <v>0</v>
      </c>
      <c r="L32" s="77">
        <f>Huidig!N33</f>
        <v>0</v>
      </c>
    </row>
    <row r="33" spans="1:12" ht="12.75">
      <c r="A33" s="165">
        <f>IF(Huidig!A34="Type een verontreiniging:","",Huidig!A34)</f>
      </c>
      <c r="B33" s="69">
        <f t="shared" si="0"/>
        <v>0</v>
      </c>
      <c r="C33" s="69">
        <f t="shared" si="1"/>
        <v>0</v>
      </c>
      <c r="D33" s="38">
        <f>30*Huidig!D34</f>
        <v>0</v>
      </c>
      <c r="E33" s="68"/>
      <c r="F33" s="68"/>
      <c r="G33" s="71">
        <f t="shared" si="2"/>
        <v>0</v>
      </c>
      <c r="H33" s="71">
        <f>Huidig!J34-0.0000017*D33/30</f>
        <v>0</v>
      </c>
      <c r="J33" s="77">
        <f>Huidig!B34</f>
        <v>0</v>
      </c>
      <c r="K33" s="77">
        <f>Huidig!C34</f>
        <v>0</v>
      </c>
      <c r="L33" s="77">
        <f>Huidig!N34</f>
        <v>0</v>
      </c>
    </row>
    <row r="34" spans="1:12" ht="12.75">
      <c r="A34" s="165">
        <f>IF(Huidig!A35="Type een verontreiniging:","",Huidig!A35)</f>
      </c>
      <c r="B34" s="69">
        <f t="shared" si="0"/>
        <v>0</v>
      </c>
      <c r="C34" s="69">
        <f t="shared" si="1"/>
        <v>0</v>
      </c>
      <c r="D34" s="38">
        <f>30*Huidig!D35</f>
        <v>0</v>
      </c>
      <c r="E34" s="68"/>
      <c r="F34" s="68"/>
      <c r="G34" s="71">
        <f t="shared" si="2"/>
        <v>0</v>
      </c>
      <c r="H34" s="71">
        <f>Huidig!J35-0.0000017*D34/30</f>
        <v>0</v>
      </c>
      <c r="J34" s="77">
        <f>Huidig!B35</f>
        <v>0</v>
      </c>
      <c r="K34" s="77">
        <f>Huidig!C35</f>
        <v>0</v>
      </c>
      <c r="L34" s="77">
        <f>Huidig!N35</f>
        <v>0</v>
      </c>
    </row>
    <row r="35" spans="1:12" ht="12.75">
      <c r="A35" s="136" t="s">
        <v>36</v>
      </c>
      <c r="B35" s="68"/>
      <c r="C35" s="68"/>
      <c r="D35" s="68"/>
      <c r="E35" s="68"/>
      <c r="F35" s="68"/>
      <c r="G35" s="84">
        <f>SUM(G24:G34)</f>
        <v>0</v>
      </c>
      <c r="H35" s="68"/>
      <c r="J35" s="77"/>
      <c r="K35" s="77"/>
      <c r="L35" s="77"/>
    </row>
    <row r="36" spans="1:12" ht="12.75">
      <c r="A36" s="136" t="str">
        <f>A22</f>
        <v>M1 grondkwaliteit</v>
      </c>
      <c r="B36" s="74">
        <f>Huidig!I36-'II'!G35</f>
        <v>0</v>
      </c>
      <c r="C36" s="68"/>
      <c r="D36" s="68"/>
      <c r="E36" s="68"/>
      <c r="F36" s="68"/>
      <c r="G36" s="68"/>
      <c r="H36" s="68"/>
      <c r="J36" s="77"/>
      <c r="K36" s="77"/>
      <c r="L36" s="77"/>
    </row>
    <row r="37" spans="10:12" ht="12.75">
      <c r="J37" s="77"/>
      <c r="K37" s="77"/>
      <c r="L37" s="77"/>
    </row>
    <row r="38" spans="1:12" ht="12.75">
      <c r="A38" s="20"/>
      <c r="J38" s="77"/>
      <c r="K38" s="77"/>
      <c r="L38" s="77"/>
    </row>
    <row r="39" spans="1:12" ht="12.75">
      <c r="A39" s="55" t="str">
        <f>A1</f>
        <v>Variant II</v>
      </c>
      <c r="J39" s="77"/>
      <c r="K39" s="77"/>
      <c r="L39" s="77"/>
    </row>
    <row r="40" spans="1:12" ht="12.75">
      <c r="A40" s="55" t="str">
        <f>A7</f>
        <v>M2 grondwaterkwaliteit</v>
      </c>
      <c r="J40" s="77"/>
      <c r="K40" s="77"/>
      <c r="L40" s="77"/>
    </row>
    <row r="41" spans="1:12" s="19" customFormat="1" ht="38.25" customHeight="1">
      <c r="A41" s="170" t="str">
        <f>Huidig!A42</f>
        <v>Verontreinigende stof</v>
      </c>
      <c r="B41" s="132" t="str">
        <f>Huidig!B42</f>
        <v>s [ug/l]</v>
      </c>
      <c r="C41" s="132" t="str">
        <f>Huidig!C42</f>
        <v>i [ug/l]</v>
      </c>
      <c r="D41" s="132" t="s">
        <v>418</v>
      </c>
      <c r="E41" s="132" t="str">
        <f>Huidig!I42</f>
        <v>Water-kubels [m3]</v>
      </c>
      <c r="J41" s="133" t="str">
        <f>Huidig!M42</f>
        <v>t</v>
      </c>
      <c r="K41" s="134"/>
      <c r="L41" s="78"/>
    </row>
    <row r="42" spans="1:11" ht="12.75">
      <c r="A42" s="165">
        <f>IF(Huidig!$P43&gt;1,INDEX(Normen!$A$12:$C$128,Huidig!$P43,1),"")</f>
      </c>
      <c r="B42" s="68">
        <f>Huidig!B43</f>
        <v>0</v>
      </c>
      <c r="C42" s="68">
        <f>Huidig!C43</f>
        <v>0</v>
      </c>
      <c r="D42" s="38">
        <f>30*Huidig!D43</f>
        <v>0</v>
      </c>
      <c r="E42" s="68">
        <f>IF(D42&gt;0,1000000000*D42/(30*J42),0)</f>
        <v>0</v>
      </c>
      <c r="F42" s="61"/>
      <c r="J42" s="77">
        <f aca="true" t="shared" si="3" ref="J42:J52">0.5*(B42+C42)</f>
        <v>0</v>
      </c>
      <c r="K42" s="77"/>
    </row>
    <row r="43" spans="1:11" ht="12.75">
      <c r="A43" s="165">
        <f>IF(Huidig!$P44&gt;1,INDEX(Normen!$A$12:$C$128,Huidig!$P44,1),"")</f>
      </c>
      <c r="B43" s="68">
        <f>Huidig!B44</f>
        <v>0</v>
      </c>
      <c r="C43" s="68">
        <f>Huidig!C44</f>
        <v>0</v>
      </c>
      <c r="D43" s="38">
        <f>30*Huidig!D44</f>
        <v>0</v>
      </c>
      <c r="E43" s="68">
        <f aca="true" t="shared" si="4" ref="E43:E52">IF(D43&gt;0,1000000000*D43/(30*J43),0)</f>
        <v>0</v>
      </c>
      <c r="F43" s="61"/>
      <c r="J43" s="77">
        <f t="shared" si="3"/>
        <v>0</v>
      </c>
      <c r="K43" s="77"/>
    </row>
    <row r="44" spans="1:11" ht="12.75">
      <c r="A44" s="165">
        <f>IF(Huidig!$P45&gt;1,INDEX(Normen!$A$12:$C$128,Huidig!$P45,1),"")</f>
      </c>
      <c r="B44" s="68">
        <f>Huidig!B45</f>
        <v>0</v>
      </c>
      <c r="C44" s="68">
        <f>Huidig!C45</f>
        <v>0</v>
      </c>
      <c r="D44" s="38">
        <f>30*Huidig!D45</f>
        <v>0</v>
      </c>
      <c r="E44" s="68">
        <f t="shared" si="4"/>
        <v>0</v>
      </c>
      <c r="F44" s="61"/>
      <c r="J44" s="77">
        <f t="shared" si="3"/>
        <v>0</v>
      </c>
      <c r="K44" s="77"/>
    </row>
    <row r="45" spans="1:11" ht="12.75">
      <c r="A45" s="165">
        <f>IF(Huidig!$P46&gt;1,INDEX(Normen!$A$12:$C$128,Huidig!$P46,1),"")</f>
      </c>
      <c r="B45" s="68">
        <f>Huidig!B46</f>
        <v>0</v>
      </c>
      <c r="C45" s="68">
        <f>Huidig!C46</f>
        <v>0</v>
      </c>
      <c r="D45" s="38">
        <f>30*Huidig!D46</f>
        <v>0</v>
      </c>
      <c r="E45" s="68">
        <f t="shared" si="4"/>
        <v>0</v>
      </c>
      <c r="F45" s="61"/>
      <c r="J45" s="77">
        <f t="shared" si="3"/>
        <v>0</v>
      </c>
      <c r="K45" s="77"/>
    </row>
    <row r="46" spans="1:11" ht="12.75">
      <c r="A46" s="165">
        <f>IF(Huidig!$P47&gt;1,INDEX(Normen!$A$12:$C$128,Huidig!$P47,1),"")</f>
      </c>
      <c r="B46" s="68">
        <f>Huidig!B47</f>
        <v>0</v>
      </c>
      <c r="C46" s="68">
        <f>Huidig!C47</f>
        <v>0</v>
      </c>
      <c r="D46" s="38">
        <f>30*Huidig!D47</f>
        <v>0</v>
      </c>
      <c r="E46" s="68">
        <f t="shared" si="4"/>
        <v>0</v>
      </c>
      <c r="F46" s="61"/>
      <c r="J46" s="77">
        <f t="shared" si="3"/>
        <v>0</v>
      </c>
      <c r="K46" s="77"/>
    </row>
    <row r="47" spans="1:11" ht="12.75">
      <c r="A47" s="165">
        <f>IF(Huidig!$P48&gt;1,INDEX(Normen!$A$12:$C$128,Huidig!$P48,1),"")</f>
      </c>
      <c r="B47" s="68">
        <f>Huidig!B48</f>
        <v>0</v>
      </c>
      <c r="C47" s="68">
        <f>Huidig!C48</f>
        <v>0</v>
      </c>
      <c r="D47" s="38">
        <f>30*Huidig!D48</f>
        <v>0</v>
      </c>
      <c r="E47" s="68">
        <f t="shared" si="4"/>
        <v>0</v>
      </c>
      <c r="F47" s="61"/>
      <c r="J47" s="77">
        <f t="shared" si="3"/>
        <v>0</v>
      </c>
      <c r="K47" s="77"/>
    </row>
    <row r="48" spans="1:11" ht="12.75">
      <c r="A48" s="165">
        <f>IF(Huidig!$P49&gt;1,INDEX(Normen!$A$12:$C$128,Huidig!$P49,1),"")</f>
      </c>
      <c r="B48" s="68">
        <f>Huidig!B49</f>
        <v>0</v>
      </c>
      <c r="C48" s="68">
        <f>Huidig!C49</f>
        <v>0</v>
      </c>
      <c r="D48" s="38">
        <f>30*Huidig!D49</f>
        <v>0</v>
      </c>
      <c r="E48" s="68">
        <f t="shared" si="4"/>
        <v>0</v>
      </c>
      <c r="F48" s="61"/>
      <c r="J48" s="77">
        <f t="shared" si="3"/>
        <v>0</v>
      </c>
      <c r="K48" s="77"/>
    </row>
    <row r="49" spans="1:11" ht="12.75">
      <c r="A49" s="165">
        <f>IF(Huidig!$P50&gt;1,INDEX(Normen!$A$12:$C$128,Huidig!$P50,1),"")</f>
      </c>
      <c r="B49" s="68">
        <f>Huidig!B50</f>
        <v>0</v>
      </c>
      <c r="C49" s="68">
        <f>Huidig!C50</f>
        <v>0</v>
      </c>
      <c r="D49" s="38">
        <f>30*Huidig!D50</f>
        <v>0</v>
      </c>
      <c r="E49" s="68">
        <f t="shared" si="4"/>
        <v>0</v>
      </c>
      <c r="F49" s="61"/>
      <c r="J49" s="77">
        <f t="shared" si="3"/>
        <v>0</v>
      </c>
      <c r="K49" s="77"/>
    </row>
    <row r="50" spans="1:11" ht="12.75">
      <c r="A50" s="165">
        <f>IF(Huidig!A51="Type een verontreiniging:","",Huidig!A51)</f>
      </c>
      <c r="B50" s="68">
        <f>Huidig!B51</f>
        <v>0</v>
      </c>
      <c r="C50" s="68">
        <f>Huidig!C51</f>
        <v>0</v>
      </c>
      <c r="D50" s="38">
        <f>30*Huidig!D51</f>
        <v>0</v>
      </c>
      <c r="E50" s="68">
        <f t="shared" si="4"/>
        <v>0</v>
      </c>
      <c r="F50" s="61"/>
      <c r="J50" s="77">
        <f t="shared" si="3"/>
        <v>0</v>
      </c>
      <c r="K50" s="77"/>
    </row>
    <row r="51" spans="1:11" ht="12.75">
      <c r="A51" s="165">
        <f>IF(Huidig!A52="Type een verontreiniging:","",Huidig!A52)</f>
      </c>
      <c r="B51" s="68">
        <f>Huidig!B52</f>
        <v>0</v>
      </c>
      <c r="C51" s="68">
        <f>Huidig!C52</f>
        <v>0</v>
      </c>
      <c r="D51" s="38">
        <f>30*Huidig!D52</f>
        <v>0</v>
      </c>
      <c r="E51" s="68">
        <f t="shared" si="4"/>
        <v>0</v>
      </c>
      <c r="F51" s="61"/>
      <c r="J51" s="77">
        <f t="shared" si="3"/>
        <v>0</v>
      </c>
      <c r="K51" s="77"/>
    </row>
    <row r="52" spans="1:11" ht="12.75">
      <c r="A52" s="165">
        <f>IF(Huidig!A53="Type een verontreiniging:","",Huidig!A53)</f>
      </c>
      <c r="B52" s="68">
        <f>Huidig!B53</f>
        <v>0</v>
      </c>
      <c r="C52" s="68">
        <f>Huidig!C53</f>
        <v>0</v>
      </c>
      <c r="D52" s="38">
        <f>30*Huidig!D53</f>
        <v>0</v>
      </c>
      <c r="E52" s="68">
        <f t="shared" si="4"/>
        <v>0</v>
      </c>
      <c r="F52" s="61"/>
      <c r="J52" s="77">
        <f t="shared" si="3"/>
        <v>0</v>
      </c>
      <c r="K52" s="77"/>
    </row>
    <row r="53" spans="1:12" ht="12.75">
      <c r="A53" s="136" t="s">
        <v>36</v>
      </c>
      <c r="B53" s="68"/>
      <c r="C53" s="68"/>
      <c r="D53" s="68"/>
      <c r="E53" s="84">
        <f>SUM(E42:E52)</f>
        <v>0</v>
      </c>
      <c r="J53" s="77"/>
      <c r="K53" s="77"/>
      <c r="L53" s="77"/>
    </row>
    <row r="54" spans="1:12" ht="12.75">
      <c r="A54" s="136" t="str">
        <f>A40</f>
        <v>M2 grondwaterkwaliteit</v>
      </c>
      <c r="B54" s="74">
        <f>Huidig!I54-'II'!E53</f>
        <v>0</v>
      </c>
      <c r="C54" s="68"/>
      <c r="D54" s="68"/>
      <c r="E54" s="68"/>
      <c r="J54" s="77"/>
      <c r="K54" s="77"/>
      <c r="L54" s="77"/>
    </row>
    <row r="55" spans="10:12" ht="12.75">
      <c r="J55" s="77"/>
      <c r="K55" s="77"/>
      <c r="L55" s="77"/>
    </row>
    <row r="56" ht="12.75">
      <c r="A56" s="20"/>
    </row>
    <row r="57" ht="12.75">
      <c r="A57" s="55" t="str">
        <f>A1</f>
        <v>Variant II</v>
      </c>
    </row>
    <row r="58" ht="12.75">
      <c r="A58" s="55" t="str">
        <f>A8</f>
        <v>M3 verlies grond</v>
      </c>
    </row>
    <row r="59" spans="1:3" ht="12.75">
      <c r="A59" s="165" t="s">
        <v>44</v>
      </c>
      <c r="B59" s="38"/>
      <c r="C59" s="54"/>
    </row>
    <row r="60" spans="1:3" ht="12.75">
      <c r="A60" s="165" t="s">
        <v>45</v>
      </c>
      <c r="B60" s="38"/>
      <c r="C60" s="54"/>
    </row>
    <row r="61" spans="1:3" ht="12.75">
      <c r="A61" s="165"/>
      <c r="B61" s="68"/>
      <c r="C61" s="54"/>
    </row>
    <row r="62" spans="1:2" ht="12.75">
      <c r="A62" s="174" t="str">
        <f>A58</f>
        <v>M3 verlies grond</v>
      </c>
      <c r="B62" s="74">
        <f>B59-B60</f>
        <v>0</v>
      </c>
    </row>
    <row r="63" ht="12.75"/>
    <row r="64" ht="12.75">
      <c r="A64" s="20"/>
    </row>
    <row r="65" ht="12.75">
      <c r="A65" s="55" t="str">
        <f>A1</f>
        <v>Variant II</v>
      </c>
    </row>
    <row r="66" ht="12.75">
      <c r="A66" s="55" t="str">
        <f>A9</f>
        <v>M4 verlies grondwater</v>
      </c>
    </row>
    <row r="67" spans="1:3" ht="12.75">
      <c r="A67" s="165" t="s">
        <v>46</v>
      </c>
      <c r="B67" s="38"/>
      <c r="C67" s="54"/>
    </row>
    <row r="68" spans="1:3" ht="12.75">
      <c r="A68" s="165" t="s">
        <v>47</v>
      </c>
      <c r="B68" s="38"/>
      <c r="C68" s="54"/>
    </row>
    <row r="69" spans="1:3" ht="12.75">
      <c r="A69" s="165"/>
      <c r="B69" s="68"/>
      <c r="C69" s="54"/>
    </row>
    <row r="70" spans="1:2" ht="12.75">
      <c r="A70" s="136" t="str">
        <f>A66</f>
        <v>M4 verlies grondwater</v>
      </c>
      <c r="B70" s="74">
        <f>B67-B68</f>
        <v>0</v>
      </c>
    </row>
    <row r="71" ht="12.75"/>
    <row r="72" ht="12.75">
      <c r="A72" s="20"/>
    </row>
    <row r="73" ht="12.75">
      <c r="A73" s="55" t="str">
        <f>A1</f>
        <v>Variant II</v>
      </c>
    </row>
    <row r="74" ht="12.75">
      <c r="A74" s="55" t="str">
        <f>A10</f>
        <v>M5/6 energiegebruik en emissies</v>
      </c>
    </row>
    <row r="75" spans="1:12" s="94" customFormat="1" ht="25.5">
      <c r="A75" s="172" t="s">
        <v>48</v>
      </c>
      <c r="B75" s="96" t="s">
        <v>49</v>
      </c>
      <c r="C75" s="97" t="s">
        <v>325</v>
      </c>
      <c r="D75" s="98" t="s">
        <v>275</v>
      </c>
      <c r="E75" s="99" t="s">
        <v>50</v>
      </c>
      <c r="F75" s="96" t="s">
        <v>51</v>
      </c>
      <c r="G75" s="96" t="s">
        <v>52</v>
      </c>
      <c r="H75" s="96" t="s">
        <v>53</v>
      </c>
      <c r="J75" s="95"/>
      <c r="K75" s="95"/>
      <c r="L75" s="95"/>
    </row>
    <row r="76" spans="1:8" ht="12.75">
      <c r="A76" s="135"/>
      <c r="B76" s="68" t="s">
        <v>54</v>
      </c>
      <c r="C76" s="90"/>
      <c r="D76" s="86"/>
      <c r="E76" s="88"/>
      <c r="F76" s="68"/>
      <c r="G76" s="68"/>
      <c r="H76" s="68"/>
    </row>
    <row r="77" spans="1:8" ht="12.75">
      <c r="A77" s="135" t="s">
        <v>371</v>
      </c>
      <c r="B77" s="68" t="s">
        <v>55</v>
      </c>
      <c r="C77" s="91"/>
      <c r="D77" s="239"/>
      <c r="E77" s="89">
        <v>35</v>
      </c>
      <c r="F77" s="68" t="s">
        <v>56</v>
      </c>
      <c r="G77" s="68">
        <f>C77*E77</f>
        <v>0</v>
      </c>
      <c r="H77" s="68"/>
    </row>
    <row r="78" spans="1:8" ht="12.75">
      <c r="A78" s="135" t="s">
        <v>372</v>
      </c>
      <c r="B78" s="68" t="s">
        <v>55</v>
      </c>
      <c r="C78" s="39"/>
      <c r="D78" s="239"/>
      <c r="E78" s="89">
        <v>0.7</v>
      </c>
      <c r="F78" s="68" t="s">
        <v>57</v>
      </c>
      <c r="G78" s="68">
        <f>C78*E78*C79</f>
        <v>0</v>
      </c>
      <c r="H78" s="68"/>
    </row>
    <row r="79" spans="1:8" ht="12.75">
      <c r="A79" s="173" t="s">
        <v>58</v>
      </c>
      <c r="B79" s="85" t="s">
        <v>59</v>
      </c>
      <c r="C79" s="40"/>
      <c r="D79" s="239"/>
      <c r="E79" s="240" t="s">
        <v>54</v>
      </c>
      <c r="F79" s="68"/>
      <c r="G79" s="68" t="s">
        <v>54</v>
      </c>
      <c r="H79" s="68"/>
    </row>
    <row r="80" spans="1:8" ht="12.75">
      <c r="A80" s="135" t="s">
        <v>373</v>
      </c>
      <c r="B80" s="68" t="s">
        <v>55</v>
      </c>
      <c r="C80" s="39"/>
      <c r="D80" s="239"/>
      <c r="E80" s="89">
        <v>0.7</v>
      </c>
      <c r="F80" s="68" t="s">
        <v>57</v>
      </c>
      <c r="G80" s="68">
        <f>C80*E80*C81</f>
        <v>0</v>
      </c>
      <c r="H80" s="68"/>
    </row>
    <row r="81" spans="1:8" ht="12.75">
      <c r="A81" s="173" t="s">
        <v>60</v>
      </c>
      <c r="B81" s="85" t="s">
        <v>59</v>
      </c>
      <c r="C81" s="40"/>
      <c r="D81" s="239"/>
      <c r="E81" s="240" t="s">
        <v>54</v>
      </c>
      <c r="F81" s="68"/>
      <c r="G81" s="68" t="s">
        <v>54</v>
      </c>
      <c r="H81" s="68"/>
    </row>
    <row r="82" spans="1:8" ht="12.75">
      <c r="A82" s="135" t="s">
        <v>374</v>
      </c>
      <c r="B82" s="68" t="s">
        <v>61</v>
      </c>
      <c r="C82" s="241"/>
      <c r="D82" s="87"/>
      <c r="E82" s="89">
        <v>40</v>
      </c>
      <c r="F82" s="68" t="s">
        <v>56</v>
      </c>
      <c r="G82" s="68"/>
      <c r="H82" s="68">
        <f>E82*D82</f>
        <v>0</v>
      </c>
    </row>
    <row r="83" spans="1:8" ht="12.75">
      <c r="A83" s="135" t="s">
        <v>375</v>
      </c>
      <c r="B83" s="68" t="s">
        <v>61</v>
      </c>
      <c r="C83" s="241"/>
      <c r="D83" s="87"/>
      <c r="E83" s="89">
        <v>120</v>
      </c>
      <c r="F83" s="68" t="s">
        <v>56</v>
      </c>
      <c r="G83" s="68"/>
      <c r="H83" s="68">
        <f>E83*D83</f>
        <v>0</v>
      </c>
    </row>
    <row r="84" spans="1:8" ht="12.75">
      <c r="A84" s="135" t="s">
        <v>376</v>
      </c>
      <c r="B84" s="68" t="s">
        <v>61</v>
      </c>
      <c r="C84" s="241"/>
      <c r="D84" s="87"/>
      <c r="E84" s="89">
        <v>600</v>
      </c>
      <c r="F84" s="68" t="s">
        <v>56</v>
      </c>
      <c r="G84" s="68"/>
      <c r="H84" s="68">
        <f>E84*D84</f>
        <v>0</v>
      </c>
    </row>
    <row r="85" spans="1:8" ht="12.75">
      <c r="A85" s="135" t="s">
        <v>377</v>
      </c>
      <c r="B85" s="68" t="s">
        <v>61</v>
      </c>
      <c r="C85" s="241"/>
      <c r="D85" s="87"/>
      <c r="E85" s="89"/>
      <c r="F85" s="68" t="s">
        <v>56</v>
      </c>
      <c r="G85" s="68"/>
      <c r="H85" s="68">
        <f>E85*D85</f>
        <v>0</v>
      </c>
    </row>
    <row r="86" spans="1:8" ht="12.75">
      <c r="A86" s="135" t="s">
        <v>378</v>
      </c>
      <c r="B86" s="68" t="s">
        <v>62</v>
      </c>
      <c r="C86" s="241"/>
      <c r="D86" s="39"/>
      <c r="E86" s="89">
        <v>0.05</v>
      </c>
      <c r="F86" s="68" t="s">
        <v>63</v>
      </c>
      <c r="G86" s="68"/>
      <c r="H86" s="68">
        <f>IF($D$87&gt;0,D86*$E86*$D$87,D86*$E86*2)</f>
        <v>0</v>
      </c>
    </row>
    <row r="87" spans="1:8" ht="12.75">
      <c r="A87" s="173" t="s">
        <v>64</v>
      </c>
      <c r="B87" s="68" t="s">
        <v>65</v>
      </c>
      <c r="C87" s="241"/>
      <c r="D87" s="40"/>
      <c r="E87" s="240"/>
      <c r="F87" s="68"/>
      <c r="G87" s="68"/>
      <c r="H87" s="68"/>
    </row>
    <row r="88" spans="1:8" ht="12.75">
      <c r="A88" s="135" t="s">
        <v>379</v>
      </c>
      <c r="B88" s="68" t="s">
        <v>66</v>
      </c>
      <c r="C88" s="39"/>
      <c r="D88" s="239"/>
      <c r="E88" s="89"/>
      <c r="F88" s="68" t="s">
        <v>63</v>
      </c>
      <c r="G88" s="68">
        <f>IF($C$89&gt;0,IF(E88&gt;0,C88*$E88*$C$89,C88*0.02*$C$89),IF(E88&gt;0,C88*$E88*2,C88*2*0.02))</f>
        <v>0</v>
      </c>
      <c r="H88" s="68"/>
    </row>
    <row r="89" spans="1:8" ht="12.75">
      <c r="A89" s="173" t="s">
        <v>64</v>
      </c>
      <c r="B89" s="68" t="s">
        <v>67</v>
      </c>
      <c r="C89" s="40"/>
      <c r="D89" s="239"/>
      <c r="E89" s="240" t="s">
        <v>54</v>
      </c>
      <c r="F89" s="68" t="s">
        <v>54</v>
      </c>
      <c r="G89" s="68" t="s">
        <v>54</v>
      </c>
      <c r="H89" s="68"/>
    </row>
    <row r="90" spans="1:8" ht="12.75">
      <c r="A90" s="135" t="s">
        <v>380</v>
      </c>
      <c r="B90" s="68" t="s">
        <v>62</v>
      </c>
      <c r="C90" s="241"/>
      <c r="D90" s="87"/>
      <c r="E90" s="89">
        <v>0.4</v>
      </c>
      <c r="F90" s="68" t="s">
        <v>68</v>
      </c>
      <c r="G90" s="68"/>
      <c r="H90" s="68">
        <f>E90*D90</f>
        <v>0</v>
      </c>
    </row>
    <row r="91" spans="1:8" ht="12.75">
      <c r="A91" s="135" t="s">
        <v>381</v>
      </c>
      <c r="B91" s="68" t="s">
        <v>62</v>
      </c>
      <c r="C91" s="241"/>
      <c r="D91" s="87"/>
      <c r="E91" s="89">
        <v>1.2</v>
      </c>
      <c r="F91" s="68" t="s">
        <v>68</v>
      </c>
      <c r="G91" s="68"/>
      <c r="H91" s="68">
        <f>E91*D91</f>
        <v>0</v>
      </c>
    </row>
    <row r="92" spans="1:8" ht="12.75">
      <c r="A92" s="135" t="s">
        <v>326</v>
      </c>
      <c r="B92" s="162" t="s">
        <v>327</v>
      </c>
      <c r="C92" s="163"/>
      <c r="D92" s="239"/>
      <c r="E92" s="89">
        <f>1000*0.03165</f>
        <v>31.65</v>
      </c>
      <c r="F92" s="68" t="s">
        <v>68</v>
      </c>
      <c r="G92" s="68"/>
      <c r="H92" s="69">
        <f>C92*E92</f>
        <v>0</v>
      </c>
    </row>
    <row r="93" spans="1:8" ht="12.75">
      <c r="A93" s="165" t="s">
        <v>69</v>
      </c>
      <c r="B93" s="68" t="s">
        <v>56</v>
      </c>
      <c r="C93" s="91"/>
      <c r="D93" s="239"/>
      <c r="E93" s="89">
        <v>35</v>
      </c>
      <c r="F93" s="68" t="s">
        <v>56</v>
      </c>
      <c r="G93" s="68">
        <f>E93*C93</f>
        <v>0</v>
      </c>
      <c r="H93" s="68"/>
    </row>
    <row r="94" spans="1:8" ht="12.75">
      <c r="A94" s="165" t="s">
        <v>70</v>
      </c>
      <c r="B94" s="85" t="s">
        <v>71</v>
      </c>
      <c r="C94" s="241"/>
      <c r="D94" s="87"/>
      <c r="E94" s="240"/>
      <c r="F94" s="68" t="s">
        <v>54</v>
      </c>
      <c r="G94" s="68"/>
      <c r="H94" s="68">
        <f>D94</f>
        <v>0</v>
      </c>
    </row>
    <row r="95" spans="1:8" ht="12.75">
      <c r="A95" s="136" t="s">
        <v>72</v>
      </c>
      <c r="B95" s="67"/>
      <c r="C95" s="68"/>
      <c r="D95" s="68"/>
      <c r="E95" s="68"/>
      <c r="F95" s="68" t="s">
        <v>54</v>
      </c>
      <c r="G95" s="68">
        <f>SUM(G77:G94)</f>
        <v>0</v>
      </c>
      <c r="H95" s="68">
        <f>SUM(H77:H94)</f>
        <v>0</v>
      </c>
    </row>
    <row r="96" spans="1:8" ht="12.75">
      <c r="A96" s="135"/>
      <c r="B96" s="68"/>
      <c r="C96" s="68"/>
      <c r="D96" s="68"/>
      <c r="E96" s="68"/>
      <c r="F96" s="68"/>
      <c r="G96" s="68"/>
      <c r="H96" s="68"/>
    </row>
    <row r="97" spans="1:8" ht="12.75">
      <c r="A97" s="165"/>
      <c r="B97" s="67"/>
      <c r="C97" s="68"/>
      <c r="D97" s="68"/>
      <c r="E97" s="68"/>
      <c r="F97" s="68"/>
      <c r="G97" s="68"/>
      <c r="H97" s="68"/>
    </row>
    <row r="98" spans="1:8" ht="12.75">
      <c r="A98" s="136" t="s">
        <v>318</v>
      </c>
      <c r="B98" s="74">
        <f>0.001*(G95+H95)/200</f>
        <v>0</v>
      </c>
      <c r="C98" s="68" t="s">
        <v>74</v>
      </c>
      <c r="D98" s="68"/>
      <c r="E98" s="69"/>
      <c r="F98" s="68"/>
      <c r="G98" s="68"/>
      <c r="H98" s="68"/>
    </row>
    <row r="99" spans="1:8" ht="12.75">
      <c r="A99" s="73" t="s">
        <v>319</v>
      </c>
      <c r="B99" s="74">
        <f>0.001*(0.0219*H95+0.0074*G95)</f>
        <v>0</v>
      </c>
      <c r="C99" s="68" t="s">
        <v>74</v>
      </c>
      <c r="D99" s="68"/>
      <c r="E99" s="68"/>
      <c r="F99" s="68"/>
      <c r="G99" s="68"/>
      <c r="H99" s="68"/>
    </row>
    <row r="100" ht="12.75"/>
    <row r="101" ht="12.75">
      <c r="A101" s="20"/>
    </row>
    <row r="102" ht="12.75">
      <c r="A102" s="55" t="str">
        <f>A1</f>
        <v>Variant II</v>
      </c>
    </row>
    <row r="103" ht="12.75">
      <c r="A103" s="55" t="str">
        <f>A11</f>
        <v>M7 opp. wateremissies</v>
      </c>
    </row>
    <row r="104" spans="1:12" s="19" customFormat="1" ht="51">
      <c r="A104" s="170" t="str">
        <f>A41</f>
        <v>Verontreinigende stof</v>
      </c>
      <c r="B104" s="132" t="s">
        <v>394</v>
      </c>
      <c r="C104" s="132" t="s">
        <v>39</v>
      </c>
      <c r="D104" s="132" t="s">
        <v>24</v>
      </c>
      <c r="E104" s="132" t="s">
        <v>361</v>
      </c>
      <c r="J104" s="78"/>
      <c r="K104" s="78"/>
      <c r="L104" s="78"/>
    </row>
    <row r="105" spans="1:10" ht="12.75">
      <c r="A105" s="171"/>
      <c r="B105" s="205">
        <f>IF(INDEX(Normen!$A$12:$I$128,J105,9)&lt;&gt;"NB",0.5*(INDEX(Normen!$A$12:$I$128,J105,8)+INDEX(Normen!$A$12:$I$128,J105,9)),"NB")</f>
        <v>0</v>
      </c>
      <c r="C105" s="38"/>
      <c r="D105" s="38"/>
      <c r="E105" s="68">
        <f>IF(AND(B105&lt;&gt;"NB",B105&gt;0,C105&gt;INDEX(Normen!$A$12:$I$128,J105,8)),(C105)*D105/B105,0)</f>
        <v>0</v>
      </c>
      <c r="J105" s="242">
        <v>1</v>
      </c>
    </row>
    <row r="106" spans="1:10" ht="12.75">
      <c r="A106" s="171"/>
      <c r="B106" s="205">
        <f>IF(INDEX(Normen!$A$12:$I$128,J106,9)&lt;&gt;"NB",0.5*(INDEX(Normen!$A$12:$I$128,J106,8)+INDEX(Normen!$A$12:$I$128,J106,9)),"NB")</f>
        <v>0</v>
      </c>
      <c r="C106" s="38"/>
      <c r="D106" s="38"/>
      <c r="E106" s="68">
        <f>IF(AND(B106&lt;&gt;"NB",B106&gt;0,C106&gt;INDEX(Normen!$A$12:$I$128,J106,8)),(C106)*D106/B106,0)</f>
        <v>0</v>
      </c>
      <c r="J106" s="242">
        <v>1</v>
      </c>
    </row>
    <row r="107" spans="1:10" ht="12.75">
      <c r="A107" s="171"/>
      <c r="B107" s="205">
        <f>IF(INDEX(Normen!$A$12:$I$128,J107,9)&lt;&gt;"NB",0.5*(INDEX(Normen!$A$12:$I$128,J107,8)+INDEX(Normen!$A$12:$I$128,J107,9)),"NB")</f>
        <v>0</v>
      </c>
      <c r="C107" s="38"/>
      <c r="D107" s="38"/>
      <c r="E107" s="68">
        <f>IF(AND(B107&lt;&gt;"NB",B107&gt;0,C107&gt;INDEX(Normen!$A$12:$I$128,J107,8)),(C107)*D107/B107,0)</f>
        <v>0</v>
      </c>
      <c r="J107" s="242">
        <v>1</v>
      </c>
    </row>
    <row r="108" spans="1:10" ht="12.75">
      <c r="A108" s="171"/>
      <c r="B108" s="205">
        <f>IF(INDEX(Normen!$A$12:$I$128,J108,9)&lt;&gt;"NB",0.5*(INDEX(Normen!$A$12:$I$128,J108,8)+INDEX(Normen!$A$12:$I$128,J108,9)),"NB")</f>
        <v>0</v>
      </c>
      <c r="C108" s="38"/>
      <c r="D108" s="38"/>
      <c r="E108" s="68">
        <f>IF(AND(B108&lt;&gt;"NB",B108&gt;0,C108&gt;INDEX(Normen!$A$12:$I$128,J108,8)),(C108)*D108/B108,0)</f>
        <v>0</v>
      </c>
      <c r="J108" s="242">
        <v>1</v>
      </c>
    </row>
    <row r="109" spans="1:10" ht="12.75">
      <c r="A109" s="171"/>
      <c r="B109" s="205">
        <f>IF(INDEX(Normen!$A$12:$I$128,J109,9)&lt;&gt;"NB",0.5*(INDEX(Normen!$A$12:$I$128,J109,8)+INDEX(Normen!$A$12:$I$128,J109,9)),"NB")</f>
        <v>0</v>
      </c>
      <c r="C109" s="38"/>
      <c r="D109" s="38"/>
      <c r="E109" s="68">
        <f>IF(AND(B109&lt;&gt;"NB",B109&gt;0,C109&gt;INDEX(Normen!$A$12:$I$128,J109,8)),(C109)*D109/B109,0)</f>
        <v>0</v>
      </c>
      <c r="J109" s="242">
        <v>1</v>
      </c>
    </row>
    <row r="110" spans="1:10" ht="12.75">
      <c r="A110" s="171"/>
      <c r="B110" s="205">
        <f>IF(INDEX(Normen!$A$12:$I$128,J110,9)&lt;&gt;"NB",0.5*(INDEX(Normen!$A$12:$I$128,J110,8)+INDEX(Normen!$A$12:$I$128,J110,9)),"NB")</f>
        <v>0</v>
      </c>
      <c r="C110" s="38"/>
      <c r="D110" s="38"/>
      <c r="E110" s="68">
        <f>IF(AND(B110&lt;&gt;"NB",B110&gt;0,C110&gt;INDEX(Normen!$A$12:$I$128,J110,8)),(C110)*D110/B110,0)</f>
        <v>0</v>
      </c>
      <c r="J110" s="242">
        <v>1</v>
      </c>
    </row>
    <row r="111" spans="1:10" ht="12.75">
      <c r="A111" s="171"/>
      <c r="B111" s="205">
        <f>IF(INDEX(Normen!$A$12:$I$128,J111,9)&lt;&gt;"NB",0.5*(INDEX(Normen!$A$12:$I$128,J111,8)+INDEX(Normen!$A$12:$I$128,J111,9)),"NB")</f>
        <v>0</v>
      </c>
      <c r="C111" s="38"/>
      <c r="D111" s="38"/>
      <c r="E111" s="68">
        <f>IF(AND(B111&lt;&gt;"NB",B111&gt;0,C111&gt;INDEX(Normen!$A$12:$I$128,J111,8)),(C111)*D111/B111,0)</f>
        <v>0</v>
      </c>
      <c r="J111" s="242">
        <v>1</v>
      </c>
    </row>
    <row r="112" spans="1:5" ht="12.75">
      <c r="A112" s="171"/>
      <c r="B112" s="205"/>
      <c r="C112" s="38"/>
      <c r="D112" s="38"/>
      <c r="E112" s="68">
        <f>IF(AND(B112&lt;&gt;"NB",B112&gt;0,C112&gt;INDEX(Normen!$A$12:$I$128,J112,8)),(C112)*D112/B112,0)</f>
        <v>0</v>
      </c>
    </row>
    <row r="113" spans="1:5" ht="12.75">
      <c r="A113" s="171"/>
      <c r="B113" s="205"/>
      <c r="C113" s="38"/>
      <c r="D113" s="38"/>
      <c r="E113" s="68">
        <f>IF(AND(B113&lt;&gt;"NB",B113&gt;0,C113&gt;INDEX(Normen!$A$12:$I$128,J113,8)),(C113)*D113/B113,0)</f>
        <v>0</v>
      </c>
    </row>
    <row r="114" spans="1:5" ht="12.75">
      <c r="A114" s="171"/>
      <c r="B114" s="205"/>
      <c r="C114" s="38"/>
      <c r="D114" s="38"/>
      <c r="E114" s="68">
        <f>IF(AND(B114&lt;&gt;"NB",B114&gt;0,C114&gt;INDEX(Normen!$A$12:$I$128,J114,8)),(C114)*D114/B114,0)</f>
        <v>0</v>
      </c>
    </row>
    <row r="115" spans="1:5" ht="12.75">
      <c r="A115" s="171"/>
      <c r="B115" s="205"/>
      <c r="C115" s="38"/>
      <c r="D115" s="38"/>
      <c r="E115" s="68">
        <f>IF(AND(B115&lt;&gt;"NB",B115&gt;0,C115&gt;INDEX(Normen!$A$12:$I$128,J115,8)),(C115)*D115/B115,0)</f>
        <v>0</v>
      </c>
    </row>
    <row r="116" spans="1:5" ht="12.75">
      <c r="A116" s="165"/>
      <c r="B116" s="68"/>
      <c r="C116" s="68"/>
      <c r="D116" s="68"/>
      <c r="E116" s="68"/>
    </row>
    <row r="117" spans="1:5" ht="12.75">
      <c r="A117" s="136" t="str">
        <f>A103</f>
        <v>M7 opp. wateremissies</v>
      </c>
      <c r="B117" s="74">
        <f>SUM(E105:E114)</f>
        <v>0</v>
      </c>
      <c r="C117" s="68"/>
      <c r="D117" s="68"/>
      <c r="E117" s="68"/>
    </row>
    <row r="118" ht="12.75"/>
    <row r="119" ht="12.75">
      <c r="A119" s="20"/>
    </row>
    <row r="120" ht="12.75">
      <c r="A120" s="55" t="str">
        <f>A1</f>
        <v>Variant II</v>
      </c>
    </row>
    <row r="121" ht="12.75">
      <c r="A121" s="55" t="str">
        <f>A12</f>
        <v>M8 afvalvorming</v>
      </c>
    </row>
    <row r="122" spans="1:2" ht="12.75">
      <c r="A122" s="165" t="s">
        <v>75</v>
      </c>
      <c r="B122" s="38"/>
    </row>
    <row r="123" spans="1:2" ht="12.75">
      <c r="A123" s="165" t="s">
        <v>76</v>
      </c>
      <c r="B123" s="38"/>
    </row>
    <row r="124" spans="1:2" ht="12.75">
      <c r="A124" s="165" t="s">
        <v>77</v>
      </c>
      <c r="B124" s="38"/>
    </row>
    <row r="125" spans="1:2" ht="12.75">
      <c r="A125" s="165"/>
      <c r="B125" s="71"/>
    </row>
    <row r="126" spans="1:2" ht="12.75">
      <c r="A126" s="165"/>
      <c r="B126" s="71"/>
    </row>
    <row r="127" spans="1:2" ht="12.75">
      <c r="A127" s="136" t="str">
        <f>A121</f>
        <v>M8 afvalvorming</v>
      </c>
      <c r="B127" s="74">
        <f>SUM(B122:B124)</f>
        <v>0</v>
      </c>
    </row>
    <row r="128" ht="12.75"/>
    <row r="129" ht="12.75">
      <c r="A129" s="20"/>
    </row>
    <row r="130" ht="12.75">
      <c r="A130" s="55" t="str">
        <f>A1</f>
        <v>Variant II</v>
      </c>
    </row>
    <row r="131" ht="12.75">
      <c r="A131" s="55" t="str">
        <f>A13</f>
        <v>M9 ruimtebeslag</v>
      </c>
    </row>
    <row r="132" spans="1:6" ht="12.75">
      <c r="A132" s="169"/>
      <c r="B132" s="168" t="s">
        <v>78</v>
      </c>
      <c r="C132" s="168" t="s">
        <v>79</v>
      </c>
      <c r="D132" s="168" t="s">
        <v>80</v>
      </c>
      <c r="E132" s="168" t="s">
        <v>81</v>
      </c>
      <c r="F132" s="168" t="s">
        <v>82</v>
      </c>
    </row>
    <row r="133" spans="1:6" ht="12.75">
      <c r="A133" s="165" t="s">
        <v>83</v>
      </c>
      <c r="B133" s="38"/>
      <c r="C133" s="38"/>
      <c r="D133" s="38"/>
      <c r="E133" s="38"/>
      <c r="F133" s="38"/>
    </row>
    <row r="134" spans="1:6" ht="12.75">
      <c r="A134" s="165" t="s">
        <v>84</v>
      </c>
      <c r="B134" s="38"/>
      <c r="C134" s="38"/>
      <c r="D134" s="38"/>
      <c r="E134" s="38"/>
      <c r="F134" s="38"/>
    </row>
    <row r="135" spans="1:6" ht="12.75">
      <c r="A135" s="136" t="s">
        <v>85</v>
      </c>
      <c r="B135" s="68">
        <f>B133*B134</f>
        <v>0</v>
      </c>
      <c r="C135" s="68">
        <f>C133*C134</f>
        <v>0</v>
      </c>
      <c r="D135" s="68">
        <f>D133*D134</f>
        <v>0</v>
      </c>
      <c r="E135" s="68">
        <f>E133*E134</f>
        <v>0</v>
      </c>
      <c r="F135" s="68">
        <f>F133*F134</f>
        <v>0</v>
      </c>
    </row>
    <row r="136" spans="1:6" ht="12.75">
      <c r="A136" s="165"/>
      <c r="B136" s="74" t="str">
        <f>IF(B134&gt;30,"Maximaal 30 invullen!!"," ")</f>
        <v> </v>
      </c>
      <c r="C136" s="74" t="str">
        <f>IF(C134&gt;30,"Maximaal 30 invullen!!"," ")</f>
        <v> </v>
      </c>
      <c r="D136" s="74" t="str">
        <f>IF(D134&gt;30,"Maximaal 30 invullen!!"," ")</f>
        <v> </v>
      </c>
      <c r="E136" s="74" t="str">
        <f>IF(E134&gt;30,"Maximaal 30 invullen!!"," ")</f>
        <v> </v>
      </c>
      <c r="F136" s="74" t="str">
        <f>IF(F134&gt;30,"Maximaal 30 invullen!!"," ")</f>
        <v> </v>
      </c>
    </row>
    <row r="137" spans="1:6" ht="12.75">
      <c r="A137" s="136" t="str">
        <f>A131</f>
        <v>M9 ruimtebeslag</v>
      </c>
      <c r="B137" s="74">
        <f>SUM(B135:F135)</f>
        <v>0</v>
      </c>
      <c r="C137" s="68"/>
      <c r="D137" s="68"/>
      <c r="E137" s="68"/>
      <c r="F137" s="68"/>
    </row>
    <row r="138" ht="12.75"/>
    <row r="139" ht="12.75"/>
    <row r="140" ht="12.75">
      <c r="A140" s="55" t="str">
        <f>A1</f>
        <v>Variant II</v>
      </c>
    </row>
    <row r="141" spans="1:14" s="19" customFormat="1" ht="12.75">
      <c r="A141" s="164" t="str">
        <f>A16</f>
        <v>Effectenoverzicht</v>
      </c>
      <c r="B141" s="132" t="s">
        <v>51</v>
      </c>
      <c r="C141" s="132" t="s">
        <v>86</v>
      </c>
      <c r="J141" s="78"/>
      <c r="K141" s="78"/>
      <c r="L141" s="78"/>
      <c r="M141" s="79"/>
      <c r="N141" s="80"/>
    </row>
    <row r="142" spans="1:14" ht="12.75">
      <c r="A142" s="165" t="str">
        <f>A36</f>
        <v>M1 grondkwaliteit</v>
      </c>
      <c r="B142" s="68" t="s">
        <v>360</v>
      </c>
      <c r="C142" s="92">
        <f>B36/1000</f>
        <v>0</v>
      </c>
      <c r="D142" s="51"/>
      <c r="F142" s="81"/>
      <c r="M142" s="82"/>
      <c r="N142" s="83"/>
    </row>
    <row r="143" spans="1:14" ht="12.75">
      <c r="A143" s="165" t="str">
        <f>A54</f>
        <v>M2 grondwaterkwaliteit</v>
      </c>
      <c r="B143" s="68" t="s">
        <v>360</v>
      </c>
      <c r="C143" s="92">
        <f>B54/1000</f>
        <v>0</v>
      </c>
      <c r="D143" s="51"/>
      <c r="F143" s="81"/>
      <c r="M143" s="82"/>
      <c r="N143" s="83"/>
    </row>
    <row r="144" spans="1:14" ht="14.25">
      <c r="A144" s="165" t="str">
        <f>A62</f>
        <v>M3 verlies grond</v>
      </c>
      <c r="B144" s="68" t="s">
        <v>87</v>
      </c>
      <c r="C144" s="92">
        <f>(-B62)</f>
        <v>0</v>
      </c>
      <c r="E144" s="51"/>
      <c r="F144" s="81"/>
      <c r="M144" s="82"/>
      <c r="N144" s="83"/>
    </row>
    <row r="145" spans="1:14" ht="14.25">
      <c r="A145" s="165" t="str">
        <f>A70</f>
        <v>M4 verlies grondwater</v>
      </c>
      <c r="B145" s="68" t="s">
        <v>88</v>
      </c>
      <c r="C145" s="92">
        <f>-B70/1000</f>
        <v>0</v>
      </c>
      <c r="E145" s="51"/>
      <c r="F145" s="81"/>
      <c r="M145" s="82"/>
      <c r="N145" s="83"/>
    </row>
    <row r="146" spans="1:14" ht="12.75">
      <c r="A146" s="165" t="str">
        <f>A98</f>
        <v>M5 energiegebruik</v>
      </c>
      <c r="B146" s="68" t="str">
        <f>C98</f>
        <v>inw.eq</v>
      </c>
      <c r="C146" s="69">
        <f>-B98</f>
        <v>0</v>
      </c>
      <c r="E146" s="51"/>
      <c r="F146" s="81"/>
      <c r="M146" s="82"/>
      <c r="N146" s="83"/>
    </row>
    <row r="147" spans="1:14" ht="12.75">
      <c r="A147" s="165" t="str">
        <f>A99</f>
        <v>M6 luchtemissies</v>
      </c>
      <c r="B147" s="68" t="s">
        <v>74</v>
      </c>
      <c r="C147" s="69">
        <f>-B99</f>
        <v>0</v>
      </c>
      <c r="E147" s="51"/>
      <c r="F147" s="81"/>
      <c r="M147" s="82"/>
      <c r="N147" s="83"/>
    </row>
    <row r="148" spans="1:14" ht="12.75">
      <c r="A148" s="165" t="str">
        <f>A117</f>
        <v>M7 opp. wateremissies</v>
      </c>
      <c r="B148" s="68" t="s">
        <v>360</v>
      </c>
      <c r="C148" s="69">
        <f>-B117/1000</f>
        <v>0</v>
      </c>
      <c r="E148" s="51"/>
      <c r="F148" s="81"/>
      <c r="M148" s="82"/>
      <c r="N148" s="83"/>
    </row>
    <row r="149" spans="1:14" ht="14.25">
      <c r="A149" s="165" t="str">
        <f>A127</f>
        <v>M8 afvalvorming</v>
      </c>
      <c r="B149" s="68" t="s">
        <v>87</v>
      </c>
      <c r="C149" s="69">
        <f>-B127</f>
        <v>0</v>
      </c>
      <c r="E149" s="51"/>
      <c r="F149" s="81"/>
      <c r="M149" s="82"/>
      <c r="N149" s="83"/>
    </row>
    <row r="150" spans="1:14" ht="14.25">
      <c r="A150" s="165" t="str">
        <f>A137</f>
        <v>M9 ruimtebeslag</v>
      </c>
      <c r="B150" s="68" t="s">
        <v>89</v>
      </c>
      <c r="C150" s="69">
        <f>-B137</f>
        <v>0</v>
      </c>
      <c r="E150" s="51"/>
      <c r="F150" s="81"/>
      <c r="M150" s="82"/>
      <c r="N150" s="83"/>
    </row>
    <row r="151" ht="12.75">
      <c r="A151" s="58"/>
    </row>
    <row r="154" ht="12.75"/>
    <row r="155" ht="12.75"/>
    <row r="156" ht="12.75"/>
  </sheetData>
  <sheetProtection sheet="1" scenarios="1"/>
  <printOptions/>
  <pageMargins left="0.5905511811023623" right="0.5905511811023623" top="0.984251968503937" bottom="0.984251968503937" header="0.5118110236220472" footer="0.5118110236220472"/>
  <pageSetup fitToHeight="3" fitToWidth="1" horizontalDpi="300" verticalDpi="300" orientation="portrait" paperSize="9" scale="94" r:id="rId3"/>
  <headerFooter alignWithMargins="0">
    <oddHeader>&amp;C&amp;F</oddHeader>
    <oddFooter>&amp;CMilieuverdienste in RMK</oddFooter>
  </headerFooter>
  <legacyDrawing r:id="rId2"/>
</worksheet>
</file>

<file path=xl/worksheets/sheet6.xml><?xml version="1.0" encoding="utf-8"?>
<worksheet xmlns="http://schemas.openxmlformats.org/spreadsheetml/2006/main" xmlns:r="http://schemas.openxmlformats.org/officeDocument/2006/relationships">
  <sheetPr codeName="Sheet17">
    <pageSetUpPr fitToPage="1"/>
  </sheetPr>
  <dimension ref="A1:N151"/>
  <sheetViews>
    <sheetView showGridLines="0" zoomScale="90" zoomScaleNormal="90" workbookViewId="0" topLeftCell="A1">
      <selection activeCell="A2" sqref="A2"/>
    </sheetView>
  </sheetViews>
  <sheetFormatPr defaultColWidth="9.140625" defaultRowHeight="12.75"/>
  <cols>
    <col min="1" max="1" width="27.7109375" style="56" customWidth="1"/>
    <col min="2" max="2" width="10.28125" style="20" customWidth="1"/>
    <col min="3" max="3" width="9.421875" style="20" customWidth="1"/>
    <col min="4" max="4" width="11.7109375" style="20" customWidth="1"/>
    <col min="5" max="5" width="8.00390625" style="20" customWidth="1"/>
    <col min="6" max="6" width="9.421875" style="20" customWidth="1"/>
    <col min="7" max="7" width="10.140625" style="20" customWidth="1"/>
    <col min="8" max="8" width="10.8515625" style="20" customWidth="1"/>
    <col min="9" max="9" width="0" style="20" hidden="1" customWidth="1"/>
    <col min="10" max="10" width="6.28125" style="52" hidden="1" customWidth="1"/>
    <col min="11" max="12" width="5.140625" style="52" hidden="1" customWidth="1"/>
    <col min="13" max="15" width="8.8515625" style="20" customWidth="1"/>
    <col min="16" max="16" width="13.421875" style="20" customWidth="1"/>
    <col min="17" max="17" width="10.57421875" style="20" customWidth="1"/>
    <col min="18" max="16384" width="8.8515625" style="20" customWidth="1"/>
  </cols>
  <sheetData>
    <row r="1" spans="1:2" ht="18">
      <c r="A1" s="75" t="str">
        <f>Inhoud!E13</f>
        <v>Variant III</v>
      </c>
      <c r="B1" s="100" t="s">
        <v>41</v>
      </c>
    </row>
    <row r="2" ht="12.75"/>
    <row r="3" ht="12.75">
      <c r="A3" s="62" t="str">
        <f>Huidig!A3</f>
        <v>Terug naar inhoud:</v>
      </c>
    </row>
    <row r="4" ht="12.75">
      <c r="A4" s="55" t="s">
        <v>42</v>
      </c>
    </row>
    <row r="5" ht="12.75">
      <c r="A5" s="55" t="s">
        <v>20</v>
      </c>
    </row>
    <row r="6" ht="12.75">
      <c r="A6" s="56" t="s">
        <v>320</v>
      </c>
    </row>
    <row r="7" ht="12.75">
      <c r="A7" s="56" t="s">
        <v>321</v>
      </c>
    </row>
    <row r="8" ht="12.75">
      <c r="A8" s="56" t="s">
        <v>322</v>
      </c>
    </row>
    <row r="9" ht="12.75">
      <c r="A9" s="56" t="s">
        <v>323</v>
      </c>
    </row>
    <row r="10" ht="12.75">
      <c r="A10" s="56" t="s">
        <v>382</v>
      </c>
    </row>
    <row r="11" ht="12.75">
      <c r="A11" s="56" t="s">
        <v>316</v>
      </c>
    </row>
    <row r="12" ht="12.75">
      <c r="A12" s="56" t="s">
        <v>406</v>
      </c>
    </row>
    <row r="13" ht="12.75">
      <c r="A13" s="56" t="s">
        <v>317</v>
      </c>
    </row>
    <row r="14" ht="12.75"/>
    <row r="15" ht="12.75">
      <c r="A15" s="55" t="s">
        <v>296</v>
      </c>
    </row>
    <row r="16" ht="12.75">
      <c r="A16" s="56" t="s">
        <v>277</v>
      </c>
    </row>
    <row r="17" ht="12.75"/>
    <row r="18" ht="12.75"/>
    <row r="19" spans="1:12" s="176" customFormat="1" ht="12.75">
      <c r="A19" s="175"/>
      <c r="J19" s="177"/>
      <c r="K19" s="177"/>
      <c r="L19" s="177"/>
    </row>
    <row r="20" spans="1:12" s="76" customFormat="1" ht="12.75">
      <c r="A20" s="166"/>
      <c r="J20" s="167"/>
      <c r="K20" s="167"/>
      <c r="L20" s="167"/>
    </row>
    <row r="21" ht="12.75">
      <c r="A21" s="55" t="str">
        <f>A1</f>
        <v>Variant III</v>
      </c>
    </row>
    <row r="22" ht="12.75">
      <c r="A22" s="55" t="str">
        <f>A6</f>
        <v>M1 grondkwaliteit</v>
      </c>
    </row>
    <row r="23" spans="1:12" s="19" customFormat="1" ht="24" customHeight="1">
      <c r="A23" s="170" t="str">
        <f>Huidig!A24</f>
        <v>Verontreinigende stof</v>
      </c>
      <c r="B23" s="132" t="str">
        <f>Huidig!B24</f>
        <v>s' [mg/kg]</v>
      </c>
      <c r="C23" s="132" t="str">
        <f>Huidig!C24</f>
        <v>i' [mg/kg]</v>
      </c>
      <c r="D23" s="132" t="s">
        <v>418</v>
      </c>
      <c r="E23" s="132" t="str">
        <f>Huidig!G24</f>
        <v>lut. [%]</v>
      </c>
      <c r="F23" s="132" t="s">
        <v>43</v>
      </c>
      <c r="G23" s="132" t="str">
        <f>Huidig!I24</f>
        <v>Grond- kubels [m3]</v>
      </c>
      <c r="H23" s="132" t="s">
        <v>329</v>
      </c>
      <c r="J23" s="131" t="str">
        <f>Huidig!L24</f>
        <v>s</v>
      </c>
      <c r="K23" s="131" t="str">
        <f>Huidig!M24</f>
        <v>i</v>
      </c>
      <c r="L23" s="131" t="str">
        <f>Huidig!N24</f>
        <v>t'</v>
      </c>
    </row>
    <row r="24" spans="1:12" ht="12.75">
      <c r="A24" s="165">
        <f>IF(Huidig!$O25&gt;1,INDEX(Normen!$A$12:$C$128,Huidig!$O25,1),"")</f>
      </c>
      <c r="B24" s="69">
        <f aca="true" t="shared" si="0" ref="B24:B34">J24</f>
        <v>0</v>
      </c>
      <c r="C24" s="69">
        <f aca="true" t="shared" si="1" ref="C24:C34">K24</f>
        <v>0</v>
      </c>
      <c r="D24" s="38">
        <f>30*Huidig!D25</f>
        <v>0</v>
      </c>
      <c r="E24" s="68">
        <f>Huidig!G25</f>
        <v>25</v>
      </c>
      <c r="F24" s="68">
        <f>Huidig!S25</f>
        <v>10</v>
      </c>
      <c r="G24" s="71">
        <f>IF(D24&gt;0,1000000*D24/(30*L24),0)</f>
        <v>0</v>
      </c>
      <c r="H24" s="71">
        <f>Huidig!J25-0.0000017*D24/30</f>
        <v>0</v>
      </c>
      <c r="J24" s="77">
        <f>Huidig!B25</f>
        <v>0</v>
      </c>
      <c r="K24" s="77">
        <f>Huidig!C25</f>
        <v>0</v>
      </c>
      <c r="L24" s="77">
        <f>Huidig!N25</f>
        <v>0</v>
      </c>
    </row>
    <row r="25" spans="1:12" ht="12.75">
      <c r="A25" s="165">
        <f>IF(Huidig!$O26&gt;1,INDEX(Normen!$A$12:$C$128,Huidig!$O26,1),"")</f>
      </c>
      <c r="B25" s="69">
        <f t="shared" si="0"/>
        <v>0</v>
      </c>
      <c r="C25" s="69">
        <f t="shared" si="1"/>
        <v>0</v>
      </c>
      <c r="D25" s="38">
        <f>30*Huidig!D26</f>
        <v>0</v>
      </c>
      <c r="E25" s="68">
        <f>Huidig!G26</f>
        <v>25</v>
      </c>
      <c r="F25" s="68">
        <f>Huidig!S26</f>
        <v>10</v>
      </c>
      <c r="G25" s="71">
        <f aca="true" t="shared" si="2" ref="G25:G34">IF(D25&gt;0,1000000*D25/(30*L25),0)</f>
        <v>0</v>
      </c>
      <c r="H25" s="71">
        <f>Huidig!J26-0.0000017*D25/30</f>
        <v>0</v>
      </c>
      <c r="J25" s="77">
        <f>Huidig!B26</f>
        <v>0</v>
      </c>
      <c r="K25" s="77">
        <f>Huidig!C26</f>
        <v>0</v>
      </c>
      <c r="L25" s="77">
        <f>Huidig!N26</f>
        <v>0</v>
      </c>
    </row>
    <row r="26" spans="1:12" ht="12.75">
      <c r="A26" s="165">
        <f>IF(Huidig!$O27&gt;1,INDEX(Normen!$A$12:$C$128,Huidig!$O27,1),"")</f>
      </c>
      <c r="B26" s="69">
        <f t="shared" si="0"/>
        <v>0</v>
      </c>
      <c r="C26" s="69">
        <f t="shared" si="1"/>
        <v>0</v>
      </c>
      <c r="D26" s="38">
        <f>30*Huidig!D27</f>
        <v>0</v>
      </c>
      <c r="E26" s="68">
        <f>Huidig!G27</f>
        <v>25</v>
      </c>
      <c r="F26" s="68">
        <f>Huidig!S27</f>
        <v>10</v>
      </c>
      <c r="G26" s="71">
        <f t="shared" si="2"/>
        <v>0</v>
      </c>
      <c r="H26" s="71">
        <f>Huidig!J27-0.0000017*D26/30</f>
        <v>0</v>
      </c>
      <c r="J26" s="77">
        <f>Huidig!B27</f>
        <v>0</v>
      </c>
      <c r="K26" s="77">
        <f>Huidig!C27</f>
        <v>0</v>
      </c>
      <c r="L26" s="77">
        <f>Huidig!N27</f>
        <v>0</v>
      </c>
    </row>
    <row r="27" spans="1:12" ht="12.75">
      <c r="A27" s="165">
        <f>IF(Huidig!$O28&gt;1,INDEX(Normen!$A$12:$C$128,Huidig!$O28,1),"")</f>
      </c>
      <c r="B27" s="69">
        <f t="shared" si="0"/>
        <v>0</v>
      </c>
      <c r="C27" s="69">
        <f t="shared" si="1"/>
        <v>0</v>
      </c>
      <c r="D27" s="38">
        <f>30*Huidig!D28</f>
        <v>0</v>
      </c>
      <c r="E27" s="68">
        <f>Huidig!G28</f>
        <v>25</v>
      </c>
      <c r="F27" s="68">
        <f>Huidig!S28</f>
        <v>10</v>
      </c>
      <c r="G27" s="71">
        <f t="shared" si="2"/>
        <v>0</v>
      </c>
      <c r="H27" s="71">
        <f>Huidig!J28-0.0000017*D27/30</f>
        <v>0</v>
      </c>
      <c r="J27" s="77">
        <f>Huidig!B28</f>
        <v>0</v>
      </c>
      <c r="K27" s="77">
        <f>Huidig!C28</f>
        <v>0</v>
      </c>
      <c r="L27" s="77">
        <f>Huidig!N28</f>
        <v>0</v>
      </c>
    </row>
    <row r="28" spans="1:12" ht="12.75">
      <c r="A28" s="165">
        <f>IF(Huidig!$O29&gt;1,INDEX(Normen!$A$12:$C$128,Huidig!$O29,1),"")</f>
      </c>
      <c r="B28" s="69">
        <f t="shared" si="0"/>
        <v>0</v>
      </c>
      <c r="C28" s="69">
        <f t="shared" si="1"/>
        <v>0</v>
      </c>
      <c r="D28" s="38">
        <f>30*Huidig!D29</f>
        <v>0</v>
      </c>
      <c r="E28" s="68">
        <f>Huidig!G29</f>
        <v>25</v>
      </c>
      <c r="F28" s="68">
        <f>Huidig!S29</f>
        <v>10</v>
      </c>
      <c r="G28" s="71">
        <f t="shared" si="2"/>
        <v>0</v>
      </c>
      <c r="H28" s="71">
        <f>Huidig!J29-0.0000017*D28/30</f>
        <v>0</v>
      </c>
      <c r="J28" s="77">
        <f>Huidig!B29</f>
        <v>0</v>
      </c>
      <c r="K28" s="77">
        <f>Huidig!C29</f>
        <v>0</v>
      </c>
      <c r="L28" s="77">
        <f>Huidig!N29</f>
        <v>0</v>
      </c>
    </row>
    <row r="29" spans="1:12" ht="12.75">
      <c r="A29" s="165">
        <f>IF(Huidig!$O30&gt;1,INDEX(Normen!$A$12:$C$128,Huidig!$O30,1),"")</f>
      </c>
      <c r="B29" s="69">
        <f t="shared" si="0"/>
        <v>0</v>
      </c>
      <c r="C29" s="69">
        <f t="shared" si="1"/>
        <v>0</v>
      </c>
      <c r="D29" s="38">
        <f>30*Huidig!D30</f>
        <v>0</v>
      </c>
      <c r="E29" s="68">
        <f>Huidig!G30</f>
        <v>25</v>
      </c>
      <c r="F29" s="68">
        <f>Huidig!S30</f>
        <v>10</v>
      </c>
      <c r="G29" s="71">
        <f t="shared" si="2"/>
        <v>0</v>
      </c>
      <c r="H29" s="71">
        <f>Huidig!J30-0.0000017*D29/30</f>
        <v>0</v>
      </c>
      <c r="J29" s="77">
        <f>Huidig!B30</f>
        <v>0</v>
      </c>
      <c r="K29" s="77">
        <f>Huidig!C30</f>
        <v>0</v>
      </c>
      <c r="L29" s="77">
        <f>Huidig!N30</f>
        <v>0</v>
      </c>
    </row>
    <row r="30" spans="1:12" ht="12.75">
      <c r="A30" s="165">
        <f>IF(Huidig!$O31&gt;1,INDEX(Normen!$A$12:$C$128,Huidig!$O31,1),"")</f>
      </c>
      <c r="B30" s="69">
        <f t="shared" si="0"/>
        <v>0</v>
      </c>
      <c r="C30" s="69">
        <f t="shared" si="1"/>
        <v>0</v>
      </c>
      <c r="D30" s="38">
        <f>30*Huidig!D31</f>
        <v>0</v>
      </c>
      <c r="E30" s="68">
        <f>Huidig!G31</f>
        <v>25</v>
      </c>
      <c r="F30" s="68">
        <f>Huidig!S31</f>
        <v>10</v>
      </c>
      <c r="G30" s="71">
        <f t="shared" si="2"/>
        <v>0</v>
      </c>
      <c r="H30" s="71">
        <f>Huidig!J31-0.0000017*D30/30</f>
        <v>0</v>
      </c>
      <c r="J30" s="77">
        <f>Huidig!B31</f>
        <v>0</v>
      </c>
      <c r="K30" s="77">
        <f>Huidig!C31</f>
        <v>0</v>
      </c>
      <c r="L30" s="77">
        <f>Huidig!N31</f>
        <v>0</v>
      </c>
    </row>
    <row r="31" spans="1:12" ht="12.75">
      <c r="A31" s="165">
        <f>IF(Huidig!$O32&gt;1,INDEX(Normen!$A$12:$C$128,Huidig!$O32,1),"")</f>
      </c>
      <c r="B31" s="69">
        <f t="shared" si="0"/>
        <v>0</v>
      </c>
      <c r="C31" s="69">
        <f t="shared" si="1"/>
        <v>0</v>
      </c>
      <c r="D31" s="38">
        <f>30*Huidig!D32</f>
        <v>0</v>
      </c>
      <c r="E31" s="68">
        <f>Huidig!G32</f>
        <v>25</v>
      </c>
      <c r="F31" s="68">
        <f>Huidig!S32</f>
        <v>10</v>
      </c>
      <c r="G31" s="71">
        <f t="shared" si="2"/>
        <v>0</v>
      </c>
      <c r="H31" s="71">
        <f>Huidig!J32-0.0000017*D31/30</f>
        <v>0</v>
      </c>
      <c r="J31" s="77">
        <f>Huidig!B32</f>
        <v>0</v>
      </c>
      <c r="K31" s="77">
        <f>Huidig!C32</f>
        <v>0</v>
      </c>
      <c r="L31" s="77">
        <f>Huidig!N32</f>
        <v>0</v>
      </c>
    </row>
    <row r="32" spans="1:12" ht="12.75">
      <c r="A32" s="165">
        <f>IF(Huidig!A33="Type een verontreiniging:","",Huidig!A33)</f>
      </c>
      <c r="B32" s="69">
        <f t="shared" si="0"/>
        <v>0</v>
      </c>
      <c r="C32" s="69">
        <f t="shared" si="1"/>
        <v>0</v>
      </c>
      <c r="D32" s="38">
        <f>30*Huidig!D33</f>
        <v>0</v>
      </c>
      <c r="E32" s="68"/>
      <c r="F32" s="68"/>
      <c r="G32" s="71">
        <f t="shared" si="2"/>
        <v>0</v>
      </c>
      <c r="H32" s="71">
        <f>Huidig!J33-0.0000017*D32/30</f>
        <v>0</v>
      </c>
      <c r="J32" s="77">
        <f>Huidig!B33</f>
        <v>0</v>
      </c>
      <c r="K32" s="77">
        <f>Huidig!C33</f>
        <v>0</v>
      </c>
      <c r="L32" s="77">
        <f>Huidig!N33</f>
        <v>0</v>
      </c>
    </row>
    <row r="33" spans="1:12" ht="12.75">
      <c r="A33" s="165">
        <f>IF(Huidig!A34="Type een verontreiniging:","",Huidig!A34)</f>
      </c>
      <c r="B33" s="69">
        <f t="shared" si="0"/>
        <v>0</v>
      </c>
      <c r="C33" s="69">
        <f t="shared" si="1"/>
        <v>0</v>
      </c>
      <c r="D33" s="38">
        <f>30*Huidig!D34</f>
        <v>0</v>
      </c>
      <c r="E33" s="68"/>
      <c r="F33" s="68"/>
      <c r="G33" s="71">
        <f t="shared" si="2"/>
        <v>0</v>
      </c>
      <c r="H33" s="71">
        <f>Huidig!J34-0.0000017*D33/30</f>
        <v>0</v>
      </c>
      <c r="J33" s="77">
        <f>Huidig!B34</f>
        <v>0</v>
      </c>
      <c r="K33" s="77">
        <f>Huidig!C34</f>
        <v>0</v>
      </c>
      <c r="L33" s="77">
        <f>Huidig!N34</f>
        <v>0</v>
      </c>
    </row>
    <row r="34" spans="1:12" ht="12.75">
      <c r="A34" s="165">
        <f>IF(Huidig!A35="Type een verontreiniging:","",Huidig!A35)</f>
      </c>
      <c r="B34" s="69">
        <f t="shared" si="0"/>
        <v>0</v>
      </c>
      <c r="C34" s="69">
        <f t="shared" si="1"/>
        <v>0</v>
      </c>
      <c r="D34" s="38">
        <f>30*Huidig!D35</f>
        <v>0</v>
      </c>
      <c r="E34" s="68"/>
      <c r="F34" s="68"/>
      <c r="G34" s="71">
        <f t="shared" si="2"/>
        <v>0</v>
      </c>
      <c r="H34" s="71">
        <f>Huidig!J35-0.0000017*D34/30</f>
        <v>0</v>
      </c>
      <c r="J34" s="77">
        <f>Huidig!B35</f>
        <v>0</v>
      </c>
      <c r="K34" s="77">
        <f>Huidig!C35</f>
        <v>0</v>
      </c>
      <c r="L34" s="77">
        <f>Huidig!N35</f>
        <v>0</v>
      </c>
    </row>
    <row r="35" spans="1:12" ht="12.75">
      <c r="A35" s="136" t="s">
        <v>36</v>
      </c>
      <c r="B35" s="68"/>
      <c r="C35" s="68"/>
      <c r="D35" s="68"/>
      <c r="E35" s="68"/>
      <c r="F35" s="68"/>
      <c r="G35" s="84">
        <f>SUM(G24:G34)</f>
        <v>0</v>
      </c>
      <c r="H35" s="68"/>
      <c r="J35" s="77"/>
      <c r="K35" s="77"/>
      <c r="L35" s="77"/>
    </row>
    <row r="36" spans="1:12" ht="12.75">
      <c r="A36" s="136" t="str">
        <f>A22</f>
        <v>M1 grondkwaliteit</v>
      </c>
      <c r="B36" s="74">
        <f>Huidig!I36-III!G35</f>
        <v>0</v>
      </c>
      <c r="C36" s="68"/>
      <c r="D36" s="68"/>
      <c r="E36" s="68"/>
      <c r="F36" s="68"/>
      <c r="G36" s="68"/>
      <c r="H36" s="68"/>
      <c r="J36" s="77"/>
      <c r="K36" s="77"/>
      <c r="L36" s="77"/>
    </row>
    <row r="37" spans="10:12" ht="12.75">
      <c r="J37" s="77"/>
      <c r="K37" s="77"/>
      <c r="L37" s="77"/>
    </row>
    <row r="38" spans="1:12" ht="12.75">
      <c r="A38" s="20"/>
      <c r="J38" s="77"/>
      <c r="K38" s="77"/>
      <c r="L38" s="77"/>
    </row>
    <row r="39" spans="1:12" ht="12.75">
      <c r="A39" s="55" t="str">
        <f>A1</f>
        <v>Variant III</v>
      </c>
      <c r="J39" s="77"/>
      <c r="K39" s="77"/>
      <c r="L39" s="77"/>
    </row>
    <row r="40" spans="1:12" ht="12.75">
      <c r="A40" s="55" t="str">
        <f>A7</f>
        <v>M2 grondwaterkwaliteit</v>
      </c>
      <c r="J40" s="77"/>
      <c r="K40" s="77"/>
      <c r="L40" s="77"/>
    </row>
    <row r="41" spans="1:12" s="19" customFormat="1" ht="38.25" customHeight="1">
      <c r="A41" s="170" t="str">
        <f>Huidig!A42</f>
        <v>Verontreinigende stof</v>
      </c>
      <c r="B41" s="132" t="str">
        <f>Huidig!B42</f>
        <v>s [ug/l]</v>
      </c>
      <c r="C41" s="132" t="str">
        <f>Huidig!C42</f>
        <v>i [ug/l]</v>
      </c>
      <c r="D41" s="132" t="s">
        <v>418</v>
      </c>
      <c r="E41" s="132" t="str">
        <f>Huidig!I42</f>
        <v>Water-kubels [m3]</v>
      </c>
      <c r="J41" s="133" t="str">
        <f>Huidig!M42</f>
        <v>t</v>
      </c>
      <c r="K41" s="134"/>
      <c r="L41" s="78"/>
    </row>
    <row r="42" spans="1:11" ht="12.75">
      <c r="A42" s="165">
        <f>IF(Huidig!$P43&gt;1,INDEX(Normen!$A$12:$C$128,Huidig!$P43,1),"")</f>
      </c>
      <c r="B42" s="68">
        <f>Huidig!B43</f>
        <v>0</v>
      </c>
      <c r="C42" s="68">
        <f>Huidig!C43</f>
        <v>0</v>
      </c>
      <c r="D42" s="38">
        <f>30*Huidig!D43</f>
        <v>0</v>
      </c>
      <c r="E42" s="68">
        <f>IF(D42&gt;0,1000000000*D42/(30*J42),0)</f>
        <v>0</v>
      </c>
      <c r="F42" s="61"/>
      <c r="J42" s="77">
        <f aca="true" t="shared" si="3" ref="J42:J52">0.5*(B42+C42)</f>
        <v>0</v>
      </c>
      <c r="K42" s="77"/>
    </row>
    <row r="43" spans="1:11" ht="12.75">
      <c r="A43" s="165">
        <f>IF(Huidig!$P44&gt;1,INDEX(Normen!$A$12:$C$128,Huidig!$P44,1),"")</f>
      </c>
      <c r="B43" s="68">
        <f>Huidig!B44</f>
        <v>0</v>
      </c>
      <c r="C43" s="68">
        <f>Huidig!C44</f>
        <v>0</v>
      </c>
      <c r="D43" s="38">
        <f>30*Huidig!D44</f>
        <v>0</v>
      </c>
      <c r="E43" s="68">
        <f aca="true" t="shared" si="4" ref="E43:E52">IF(D43&gt;0,1000000000*D43/(30*J43),0)</f>
        <v>0</v>
      </c>
      <c r="F43" s="61"/>
      <c r="J43" s="77">
        <f t="shared" si="3"/>
        <v>0</v>
      </c>
      <c r="K43" s="77"/>
    </row>
    <row r="44" spans="1:11" ht="12.75">
      <c r="A44" s="165">
        <f>IF(Huidig!$P45&gt;1,INDEX(Normen!$A$12:$C$128,Huidig!$P45,1),"")</f>
      </c>
      <c r="B44" s="68">
        <f>Huidig!B45</f>
        <v>0</v>
      </c>
      <c r="C44" s="68">
        <f>Huidig!C45</f>
        <v>0</v>
      </c>
      <c r="D44" s="38">
        <f>30*Huidig!D45</f>
        <v>0</v>
      </c>
      <c r="E44" s="68">
        <f t="shared" si="4"/>
        <v>0</v>
      </c>
      <c r="F44" s="61"/>
      <c r="J44" s="77">
        <f t="shared" si="3"/>
        <v>0</v>
      </c>
      <c r="K44" s="77"/>
    </row>
    <row r="45" spans="1:11" ht="12.75">
      <c r="A45" s="165">
        <f>IF(Huidig!$P46&gt;1,INDEX(Normen!$A$12:$C$128,Huidig!$P46,1),"")</f>
      </c>
      <c r="B45" s="68">
        <f>Huidig!B46</f>
        <v>0</v>
      </c>
      <c r="C45" s="68">
        <f>Huidig!C46</f>
        <v>0</v>
      </c>
      <c r="D45" s="38">
        <f>30*Huidig!D46</f>
        <v>0</v>
      </c>
      <c r="E45" s="68">
        <f t="shared" si="4"/>
        <v>0</v>
      </c>
      <c r="F45" s="61"/>
      <c r="J45" s="77">
        <f t="shared" si="3"/>
        <v>0</v>
      </c>
      <c r="K45" s="77"/>
    </row>
    <row r="46" spans="1:11" ht="12.75">
      <c r="A46" s="165">
        <f>IF(Huidig!$P47&gt;1,INDEX(Normen!$A$12:$C$128,Huidig!$P47,1),"")</f>
      </c>
      <c r="B46" s="68">
        <f>Huidig!B47</f>
        <v>0</v>
      </c>
      <c r="C46" s="68">
        <f>Huidig!C47</f>
        <v>0</v>
      </c>
      <c r="D46" s="38">
        <f>30*Huidig!D47</f>
        <v>0</v>
      </c>
      <c r="E46" s="68">
        <f t="shared" si="4"/>
        <v>0</v>
      </c>
      <c r="F46" s="61"/>
      <c r="J46" s="77">
        <f t="shared" si="3"/>
        <v>0</v>
      </c>
      <c r="K46" s="77"/>
    </row>
    <row r="47" spans="1:11" ht="12.75">
      <c r="A47" s="165">
        <f>IF(Huidig!$P48&gt;1,INDEX(Normen!$A$12:$C$128,Huidig!$P48,1),"")</f>
      </c>
      <c r="B47" s="68">
        <f>Huidig!B48</f>
        <v>0</v>
      </c>
      <c r="C47" s="68">
        <f>Huidig!C48</f>
        <v>0</v>
      </c>
      <c r="D47" s="38">
        <f>30*Huidig!D48</f>
        <v>0</v>
      </c>
      <c r="E47" s="68">
        <f t="shared" si="4"/>
        <v>0</v>
      </c>
      <c r="F47" s="61"/>
      <c r="J47" s="77">
        <f t="shared" si="3"/>
        <v>0</v>
      </c>
      <c r="K47" s="77"/>
    </row>
    <row r="48" spans="1:11" ht="12.75">
      <c r="A48" s="165">
        <f>IF(Huidig!$P49&gt;1,INDEX(Normen!$A$12:$C$128,Huidig!$P49,1),"")</f>
      </c>
      <c r="B48" s="68">
        <f>Huidig!B49</f>
        <v>0</v>
      </c>
      <c r="C48" s="68">
        <f>Huidig!C49</f>
        <v>0</v>
      </c>
      <c r="D48" s="38">
        <f>30*Huidig!D49</f>
        <v>0</v>
      </c>
      <c r="E48" s="68">
        <f t="shared" si="4"/>
        <v>0</v>
      </c>
      <c r="F48" s="61"/>
      <c r="J48" s="77">
        <f t="shared" si="3"/>
        <v>0</v>
      </c>
      <c r="K48" s="77"/>
    </row>
    <row r="49" spans="1:11" ht="12.75">
      <c r="A49" s="165">
        <f>IF(Huidig!$P50&gt;1,INDEX(Normen!$A$12:$C$128,Huidig!$P50,1),"")</f>
      </c>
      <c r="B49" s="68">
        <f>Huidig!B50</f>
        <v>0</v>
      </c>
      <c r="C49" s="68">
        <f>Huidig!C50</f>
        <v>0</v>
      </c>
      <c r="D49" s="38">
        <f>30*Huidig!D50</f>
        <v>0</v>
      </c>
      <c r="E49" s="68">
        <f t="shared" si="4"/>
        <v>0</v>
      </c>
      <c r="F49" s="61"/>
      <c r="J49" s="77">
        <f t="shared" si="3"/>
        <v>0</v>
      </c>
      <c r="K49" s="77"/>
    </row>
    <row r="50" spans="1:11" ht="12.75">
      <c r="A50" s="165">
        <f>IF(Huidig!A51="Type een verontreiniging:","",Huidig!A51)</f>
      </c>
      <c r="B50" s="68">
        <f>Huidig!B51</f>
        <v>0</v>
      </c>
      <c r="C50" s="68">
        <f>Huidig!C51</f>
        <v>0</v>
      </c>
      <c r="D50" s="38">
        <f>30*Huidig!D51</f>
        <v>0</v>
      </c>
      <c r="E50" s="68">
        <f t="shared" si="4"/>
        <v>0</v>
      </c>
      <c r="F50" s="61"/>
      <c r="J50" s="77">
        <f t="shared" si="3"/>
        <v>0</v>
      </c>
      <c r="K50" s="77"/>
    </row>
    <row r="51" spans="1:11" ht="12.75">
      <c r="A51" s="165">
        <f>IF(Huidig!A52="Type een verontreiniging:","",Huidig!A52)</f>
      </c>
      <c r="B51" s="68">
        <f>Huidig!B52</f>
        <v>0</v>
      </c>
      <c r="C51" s="68">
        <f>Huidig!C52</f>
        <v>0</v>
      </c>
      <c r="D51" s="38">
        <f>30*Huidig!D52</f>
        <v>0</v>
      </c>
      <c r="E51" s="68">
        <f t="shared" si="4"/>
        <v>0</v>
      </c>
      <c r="F51" s="61"/>
      <c r="J51" s="77">
        <f t="shared" si="3"/>
        <v>0</v>
      </c>
      <c r="K51" s="77"/>
    </row>
    <row r="52" spans="1:11" ht="12.75">
      <c r="A52" s="165">
        <f>IF(Huidig!A53="Type een verontreiniging:","",Huidig!A53)</f>
      </c>
      <c r="B52" s="68">
        <f>Huidig!B53</f>
        <v>0</v>
      </c>
      <c r="C52" s="68">
        <f>Huidig!C53</f>
        <v>0</v>
      </c>
      <c r="D52" s="38">
        <f>30*Huidig!D53</f>
        <v>0</v>
      </c>
      <c r="E52" s="68">
        <f t="shared" si="4"/>
        <v>0</v>
      </c>
      <c r="F52" s="61"/>
      <c r="J52" s="77">
        <f t="shared" si="3"/>
        <v>0</v>
      </c>
      <c r="K52" s="77"/>
    </row>
    <row r="53" spans="1:12" ht="12.75">
      <c r="A53" s="136" t="s">
        <v>36</v>
      </c>
      <c r="B53" s="68"/>
      <c r="C53" s="68"/>
      <c r="D53" s="68"/>
      <c r="E53" s="84">
        <f>SUM(E42:E52)</f>
        <v>0</v>
      </c>
      <c r="J53" s="77"/>
      <c r="K53" s="77"/>
      <c r="L53" s="77"/>
    </row>
    <row r="54" spans="1:12" ht="12.75">
      <c r="A54" s="136" t="str">
        <f>A40</f>
        <v>M2 grondwaterkwaliteit</v>
      </c>
      <c r="B54" s="74">
        <f>Huidig!I54-III!E53</f>
        <v>0</v>
      </c>
      <c r="C54" s="68"/>
      <c r="D54" s="68"/>
      <c r="E54" s="68"/>
      <c r="J54" s="77"/>
      <c r="K54" s="77"/>
      <c r="L54" s="77"/>
    </row>
    <row r="55" spans="10:12" ht="12.75">
      <c r="J55" s="77"/>
      <c r="K55" s="77"/>
      <c r="L55" s="77"/>
    </row>
    <row r="56" ht="12.75">
      <c r="A56" s="20"/>
    </row>
    <row r="57" ht="12.75">
      <c r="A57" s="55" t="str">
        <f>A1</f>
        <v>Variant III</v>
      </c>
    </row>
    <row r="58" ht="12.75">
      <c r="A58" s="55" t="str">
        <f>A8</f>
        <v>M3 verlies grond</v>
      </c>
    </row>
    <row r="59" spans="1:3" ht="12.75">
      <c r="A59" s="165" t="s">
        <v>44</v>
      </c>
      <c r="B59" s="38"/>
      <c r="C59" s="54"/>
    </row>
    <row r="60" spans="1:3" ht="12.75">
      <c r="A60" s="165" t="s">
        <v>45</v>
      </c>
      <c r="B60" s="38"/>
      <c r="C60" s="54"/>
    </row>
    <row r="61" spans="1:3" ht="12.75">
      <c r="A61" s="165"/>
      <c r="B61" s="68"/>
      <c r="C61" s="54"/>
    </row>
    <row r="62" spans="1:2" ht="12.75">
      <c r="A62" s="174" t="str">
        <f>A58</f>
        <v>M3 verlies grond</v>
      </c>
      <c r="B62" s="74">
        <f>B59-B60</f>
        <v>0</v>
      </c>
    </row>
    <row r="63" ht="12.75"/>
    <row r="64" ht="12.75">
      <c r="A64" s="20"/>
    </row>
    <row r="65" ht="12.75">
      <c r="A65" s="55" t="str">
        <f>A1</f>
        <v>Variant III</v>
      </c>
    </row>
    <row r="66" ht="12.75">
      <c r="A66" s="55" t="str">
        <f>A9</f>
        <v>M4 verlies grondwater</v>
      </c>
    </row>
    <row r="67" spans="1:3" ht="12.75">
      <c r="A67" s="165" t="s">
        <v>46</v>
      </c>
      <c r="B67" s="38"/>
      <c r="C67" s="54"/>
    </row>
    <row r="68" spans="1:3" ht="12.75">
      <c r="A68" s="165" t="s">
        <v>47</v>
      </c>
      <c r="B68" s="38"/>
      <c r="C68" s="54"/>
    </row>
    <row r="69" spans="1:3" ht="12.75">
      <c r="A69" s="165"/>
      <c r="B69" s="68"/>
      <c r="C69" s="54"/>
    </row>
    <row r="70" spans="1:2" ht="12.75">
      <c r="A70" s="136" t="str">
        <f>A66</f>
        <v>M4 verlies grondwater</v>
      </c>
      <c r="B70" s="74">
        <f>B67-B68</f>
        <v>0</v>
      </c>
    </row>
    <row r="71" ht="12.75"/>
    <row r="72" ht="12.75">
      <c r="A72" s="20"/>
    </row>
    <row r="73" ht="12.75">
      <c r="A73" s="55" t="str">
        <f>A1</f>
        <v>Variant III</v>
      </c>
    </row>
    <row r="74" ht="12.75">
      <c r="A74" s="55" t="str">
        <f>A10</f>
        <v>M5/6 energiegebruik en emissies</v>
      </c>
    </row>
    <row r="75" spans="1:12" s="94" customFormat="1" ht="25.5">
      <c r="A75" s="172" t="s">
        <v>48</v>
      </c>
      <c r="B75" s="96" t="s">
        <v>49</v>
      </c>
      <c r="C75" s="97" t="s">
        <v>325</v>
      </c>
      <c r="D75" s="98" t="s">
        <v>275</v>
      </c>
      <c r="E75" s="99" t="s">
        <v>50</v>
      </c>
      <c r="F75" s="96" t="s">
        <v>51</v>
      </c>
      <c r="G75" s="96" t="s">
        <v>52</v>
      </c>
      <c r="H75" s="96" t="s">
        <v>53</v>
      </c>
      <c r="J75" s="95"/>
      <c r="K75" s="95"/>
      <c r="L75" s="95"/>
    </row>
    <row r="76" spans="1:8" ht="12.75">
      <c r="A76" s="135"/>
      <c r="B76" s="68" t="s">
        <v>54</v>
      </c>
      <c r="C76" s="90"/>
      <c r="D76" s="86"/>
      <c r="E76" s="88"/>
      <c r="F76" s="68"/>
      <c r="G76" s="68"/>
      <c r="H76" s="68"/>
    </row>
    <row r="77" spans="1:8" ht="12.75">
      <c r="A77" s="135" t="s">
        <v>371</v>
      </c>
      <c r="B77" s="68" t="s">
        <v>55</v>
      </c>
      <c r="C77" s="91"/>
      <c r="D77" s="239"/>
      <c r="E77" s="89">
        <v>35</v>
      </c>
      <c r="F77" s="68" t="s">
        <v>56</v>
      </c>
      <c r="G77" s="68">
        <f>C77*E77</f>
        <v>0</v>
      </c>
      <c r="H77" s="68"/>
    </row>
    <row r="78" spans="1:8" ht="12.75">
      <c r="A78" s="135" t="s">
        <v>372</v>
      </c>
      <c r="B78" s="68" t="s">
        <v>55</v>
      </c>
      <c r="C78" s="39"/>
      <c r="D78" s="239"/>
      <c r="E78" s="89">
        <v>0.7</v>
      </c>
      <c r="F78" s="68" t="s">
        <v>57</v>
      </c>
      <c r="G78" s="68">
        <f>C78*E78*C79</f>
        <v>0</v>
      </c>
      <c r="H78" s="68"/>
    </row>
    <row r="79" spans="1:8" ht="12.75">
      <c r="A79" s="173" t="s">
        <v>58</v>
      </c>
      <c r="B79" s="85" t="s">
        <v>59</v>
      </c>
      <c r="C79" s="40"/>
      <c r="D79" s="239"/>
      <c r="E79" s="240" t="s">
        <v>54</v>
      </c>
      <c r="F79" s="68"/>
      <c r="G79" s="68" t="s">
        <v>54</v>
      </c>
      <c r="H79" s="68"/>
    </row>
    <row r="80" spans="1:8" ht="12.75">
      <c r="A80" s="135" t="s">
        <v>373</v>
      </c>
      <c r="B80" s="68" t="s">
        <v>55</v>
      </c>
      <c r="C80" s="39"/>
      <c r="D80" s="239"/>
      <c r="E80" s="89">
        <v>0.7</v>
      </c>
      <c r="F80" s="68" t="s">
        <v>57</v>
      </c>
      <c r="G80" s="68">
        <f>C80*E80*C81</f>
        <v>0</v>
      </c>
      <c r="H80" s="68"/>
    </row>
    <row r="81" spans="1:8" ht="12.75">
      <c r="A81" s="173" t="s">
        <v>60</v>
      </c>
      <c r="B81" s="85" t="s">
        <v>59</v>
      </c>
      <c r="C81" s="40"/>
      <c r="D81" s="239"/>
      <c r="E81" s="240" t="s">
        <v>54</v>
      </c>
      <c r="F81" s="68"/>
      <c r="G81" s="68" t="s">
        <v>54</v>
      </c>
      <c r="H81" s="68"/>
    </row>
    <row r="82" spans="1:8" ht="12.75">
      <c r="A82" s="135" t="s">
        <v>374</v>
      </c>
      <c r="B82" s="68" t="s">
        <v>61</v>
      </c>
      <c r="C82" s="241"/>
      <c r="D82" s="87"/>
      <c r="E82" s="89">
        <v>40</v>
      </c>
      <c r="F82" s="68" t="s">
        <v>56</v>
      </c>
      <c r="G82" s="68"/>
      <c r="H82" s="68">
        <f>E82*D82</f>
        <v>0</v>
      </c>
    </row>
    <row r="83" spans="1:8" ht="12.75">
      <c r="A83" s="135" t="s">
        <v>375</v>
      </c>
      <c r="B83" s="68" t="s">
        <v>61</v>
      </c>
      <c r="C83" s="241"/>
      <c r="D83" s="87"/>
      <c r="E83" s="89">
        <v>120</v>
      </c>
      <c r="F83" s="68" t="s">
        <v>56</v>
      </c>
      <c r="G83" s="68"/>
      <c r="H83" s="68">
        <f>E83*D83</f>
        <v>0</v>
      </c>
    </row>
    <row r="84" spans="1:8" ht="12.75">
      <c r="A84" s="135" t="s">
        <v>376</v>
      </c>
      <c r="B84" s="68" t="s">
        <v>61</v>
      </c>
      <c r="C84" s="241"/>
      <c r="D84" s="87"/>
      <c r="E84" s="89">
        <v>600</v>
      </c>
      <c r="F84" s="68" t="s">
        <v>56</v>
      </c>
      <c r="G84" s="68"/>
      <c r="H84" s="68">
        <f>E84*D84</f>
        <v>0</v>
      </c>
    </row>
    <row r="85" spans="1:8" ht="12.75">
      <c r="A85" s="135" t="s">
        <v>377</v>
      </c>
      <c r="B85" s="68" t="s">
        <v>61</v>
      </c>
      <c r="C85" s="241"/>
      <c r="D85" s="87"/>
      <c r="E85" s="89"/>
      <c r="F85" s="68" t="s">
        <v>56</v>
      </c>
      <c r="G85" s="68"/>
      <c r="H85" s="68">
        <f>E85*D85</f>
        <v>0</v>
      </c>
    </row>
    <row r="86" spans="1:8" ht="12.75">
      <c r="A86" s="135" t="s">
        <v>378</v>
      </c>
      <c r="B86" s="68" t="s">
        <v>62</v>
      </c>
      <c r="C86" s="241"/>
      <c r="D86" s="39"/>
      <c r="E86" s="89">
        <v>0.05</v>
      </c>
      <c r="F86" s="68" t="s">
        <v>63</v>
      </c>
      <c r="G86" s="68"/>
      <c r="H86" s="68">
        <f>IF($D$87&gt;0,D86*$E86*$D$87,D86*$E86*2)</f>
        <v>0</v>
      </c>
    </row>
    <row r="87" spans="1:8" ht="12.75">
      <c r="A87" s="173" t="s">
        <v>64</v>
      </c>
      <c r="B87" s="68" t="s">
        <v>65</v>
      </c>
      <c r="C87" s="241"/>
      <c r="D87" s="40"/>
      <c r="E87" s="240"/>
      <c r="F87" s="68"/>
      <c r="G87" s="68"/>
      <c r="H87" s="68"/>
    </row>
    <row r="88" spans="1:8" ht="12.75">
      <c r="A88" s="135" t="s">
        <v>379</v>
      </c>
      <c r="B88" s="68" t="s">
        <v>66</v>
      </c>
      <c r="C88" s="39"/>
      <c r="D88" s="239"/>
      <c r="E88" s="89"/>
      <c r="F88" s="68" t="s">
        <v>63</v>
      </c>
      <c r="G88" s="68">
        <f>IF($C$89&gt;0,IF(E88&gt;0,C88*$E88*$C$89,C88*0.02*$C$89),IF(E88&gt;0,C88*$E88*2,C88*2*0.02))</f>
        <v>0</v>
      </c>
      <c r="H88" s="68"/>
    </row>
    <row r="89" spans="1:8" ht="12.75">
      <c r="A89" s="173" t="s">
        <v>64</v>
      </c>
      <c r="B89" s="68" t="s">
        <v>67</v>
      </c>
      <c r="C89" s="40"/>
      <c r="D89" s="239"/>
      <c r="E89" s="240" t="s">
        <v>54</v>
      </c>
      <c r="F89" s="68" t="s">
        <v>54</v>
      </c>
      <c r="G89" s="68" t="s">
        <v>54</v>
      </c>
      <c r="H89" s="68"/>
    </row>
    <row r="90" spans="1:8" ht="12.75">
      <c r="A90" s="135" t="s">
        <v>380</v>
      </c>
      <c r="B90" s="68" t="s">
        <v>62</v>
      </c>
      <c r="C90" s="241"/>
      <c r="D90" s="87"/>
      <c r="E90" s="89">
        <v>0.4</v>
      </c>
      <c r="F90" s="68" t="s">
        <v>68</v>
      </c>
      <c r="G90" s="68"/>
      <c r="H90" s="68">
        <f>E90*D90</f>
        <v>0</v>
      </c>
    </row>
    <row r="91" spans="1:8" ht="12.75">
      <c r="A91" s="135" t="s">
        <v>381</v>
      </c>
      <c r="B91" s="68" t="s">
        <v>62</v>
      </c>
      <c r="C91" s="241"/>
      <c r="D91" s="87"/>
      <c r="E91" s="89">
        <v>1.2</v>
      </c>
      <c r="F91" s="68" t="s">
        <v>68</v>
      </c>
      <c r="G91" s="68"/>
      <c r="H91" s="68">
        <f>E91*D91</f>
        <v>0</v>
      </c>
    </row>
    <row r="92" spans="1:8" ht="12.75">
      <c r="A92" s="135" t="s">
        <v>326</v>
      </c>
      <c r="B92" s="162" t="s">
        <v>327</v>
      </c>
      <c r="C92" s="163"/>
      <c r="D92" s="239"/>
      <c r="E92" s="89">
        <f>1000*0.03165</f>
        <v>31.65</v>
      </c>
      <c r="F92" s="68" t="s">
        <v>68</v>
      </c>
      <c r="G92" s="68"/>
      <c r="H92" s="69">
        <f>C92*E92</f>
        <v>0</v>
      </c>
    </row>
    <row r="93" spans="1:8" ht="12.75">
      <c r="A93" s="165" t="s">
        <v>69</v>
      </c>
      <c r="B93" s="68" t="s">
        <v>56</v>
      </c>
      <c r="C93" s="91"/>
      <c r="D93" s="239"/>
      <c r="E93" s="89">
        <v>35</v>
      </c>
      <c r="F93" s="68" t="s">
        <v>56</v>
      </c>
      <c r="G93" s="68">
        <f>E93*C93</f>
        <v>0</v>
      </c>
      <c r="H93" s="68"/>
    </row>
    <row r="94" spans="1:8" ht="12.75">
      <c r="A94" s="165" t="s">
        <v>70</v>
      </c>
      <c r="B94" s="85" t="s">
        <v>71</v>
      </c>
      <c r="C94" s="241"/>
      <c r="D94" s="87"/>
      <c r="E94" s="240"/>
      <c r="F94" s="68" t="s">
        <v>54</v>
      </c>
      <c r="G94" s="68"/>
      <c r="H94" s="68">
        <f>D94</f>
        <v>0</v>
      </c>
    </row>
    <row r="95" spans="1:8" ht="12.75">
      <c r="A95" s="136" t="s">
        <v>72</v>
      </c>
      <c r="B95" s="67"/>
      <c r="C95" s="68"/>
      <c r="D95" s="68"/>
      <c r="E95" s="68"/>
      <c r="F95" s="68" t="s">
        <v>54</v>
      </c>
      <c r="G95" s="68">
        <f>SUM(G77:G94)</f>
        <v>0</v>
      </c>
      <c r="H95" s="68">
        <f>SUM(H77:H94)</f>
        <v>0</v>
      </c>
    </row>
    <row r="96" spans="1:8" ht="12.75">
      <c r="A96" s="135"/>
      <c r="B96" s="68"/>
      <c r="C96" s="68"/>
      <c r="D96" s="68"/>
      <c r="E96" s="68"/>
      <c r="F96" s="68"/>
      <c r="G96" s="68"/>
      <c r="H96" s="68"/>
    </row>
    <row r="97" spans="1:8" ht="12.75">
      <c r="A97" s="165"/>
      <c r="B97" s="67"/>
      <c r="C97" s="68"/>
      <c r="D97" s="68"/>
      <c r="E97" s="68"/>
      <c r="F97" s="68"/>
      <c r="G97" s="68"/>
      <c r="H97" s="68"/>
    </row>
    <row r="98" spans="1:8" ht="12.75">
      <c r="A98" s="136" t="s">
        <v>318</v>
      </c>
      <c r="B98" s="74">
        <f>0.001*(G95+H95)/200</f>
        <v>0</v>
      </c>
      <c r="C98" s="68" t="s">
        <v>74</v>
      </c>
      <c r="D98" s="68"/>
      <c r="E98" s="69"/>
      <c r="F98" s="68"/>
      <c r="G98" s="68"/>
      <c r="H98" s="68"/>
    </row>
    <row r="99" spans="1:8" ht="12.75">
      <c r="A99" s="73" t="s">
        <v>319</v>
      </c>
      <c r="B99" s="74">
        <f>0.001*(0.0219*H95+0.0074*G95)</f>
        <v>0</v>
      </c>
      <c r="C99" s="68" t="s">
        <v>74</v>
      </c>
      <c r="D99" s="68"/>
      <c r="E99" s="68"/>
      <c r="F99" s="68"/>
      <c r="G99" s="68"/>
      <c r="H99" s="68"/>
    </row>
    <row r="100" ht="12.75"/>
    <row r="101" ht="12.75">
      <c r="A101" s="20"/>
    </row>
    <row r="102" ht="12.75">
      <c r="A102" s="55" t="str">
        <f>A1</f>
        <v>Variant III</v>
      </c>
    </row>
    <row r="103" ht="12.75">
      <c r="A103" s="55" t="str">
        <f>A11</f>
        <v>M7 opp. wateremissies</v>
      </c>
    </row>
    <row r="104" spans="1:12" s="19" customFormat="1" ht="51">
      <c r="A104" s="170" t="str">
        <f>A41</f>
        <v>Verontreinigende stof</v>
      </c>
      <c r="B104" s="132" t="s">
        <v>394</v>
      </c>
      <c r="C104" s="132" t="s">
        <v>39</v>
      </c>
      <c r="D104" s="132" t="s">
        <v>24</v>
      </c>
      <c r="E104" s="132" t="s">
        <v>361</v>
      </c>
      <c r="J104" s="78"/>
      <c r="K104" s="78"/>
      <c r="L104" s="78"/>
    </row>
    <row r="105" spans="1:10" ht="12.75">
      <c r="A105" s="171"/>
      <c r="B105" s="205">
        <f>IF(INDEX(Normen!$A$12:$I$128,J105,9)&lt;&gt;"NB",0.5*(INDEX(Normen!$A$12:$I$128,J105,8)+INDEX(Normen!$A$12:$I$128,J105,9)),"NB")</f>
        <v>0</v>
      </c>
      <c r="C105" s="38"/>
      <c r="D105" s="38"/>
      <c r="E105" s="68">
        <f>IF(AND(B105&lt;&gt;"NB",B105&gt;0,C105&gt;INDEX(Normen!$A$12:$I$128,J105,8)),(C105)*D105/B105,0)</f>
        <v>0</v>
      </c>
      <c r="J105" s="242">
        <v>1</v>
      </c>
    </row>
    <row r="106" spans="1:10" ht="12.75">
      <c r="A106" s="171"/>
      <c r="B106" s="205">
        <f>IF(INDEX(Normen!$A$12:$I$128,J106,9)&lt;&gt;"NB",0.5*(INDEX(Normen!$A$12:$I$128,J106,8)+INDEX(Normen!$A$12:$I$128,J106,9)),"NB")</f>
        <v>0</v>
      </c>
      <c r="C106" s="38"/>
      <c r="D106" s="38"/>
      <c r="E106" s="68">
        <f>IF(AND(B106&lt;&gt;"NB",B106&gt;0,C106&gt;INDEX(Normen!$A$12:$I$128,J106,8)),(C106)*D106/B106,0)</f>
        <v>0</v>
      </c>
      <c r="J106" s="242">
        <v>1</v>
      </c>
    </row>
    <row r="107" spans="1:10" ht="12.75">
      <c r="A107" s="171"/>
      <c r="B107" s="205">
        <f>IF(INDEX(Normen!$A$12:$I$128,J107,9)&lt;&gt;"NB",0.5*(INDEX(Normen!$A$12:$I$128,J107,8)+INDEX(Normen!$A$12:$I$128,J107,9)),"NB")</f>
        <v>0</v>
      </c>
      <c r="C107" s="38"/>
      <c r="D107" s="38"/>
      <c r="E107" s="68">
        <f>IF(AND(B107&lt;&gt;"NB",B107&gt;0,C107&gt;INDEX(Normen!$A$12:$I$128,J107,8)),(C107)*D107/B107,0)</f>
        <v>0</v>
      </c>
      <c r="J107" s="242">
        <v>1</v>
      </c>
    </row>
    <row r="108" spans="1:10" ht="12.75">
      <c r="A108" s="171"/>
      <c r="B108" s="205">
        <f>IF(INDEX(Normen!$A$12:$I$128,J108,9)&lt;&gt;"NB",0.5*(INDEX(Normen!$A$12:$I$128,J108,8)+INDEX(Normen!$A$12:$I$128,J108,9)),"NB")</f>
        <v>0</v>
      </c>
      <c r="C108" s="38"/>
      <c r="D108" s="38"/>
      <c r="E108" s="68">
        <f>IF(AND(B108&lt;&gt;"NB",B108&gt;0,C108&gt;INDEX(Normen!$A$12:$I$128,J108,8)),(C108)*D108/B108,0)</f>
        <v>0</v>
      </c>
      <c r="J108" s="242">
        <v>1</v>
      </c>
    </row>
    <row r="109" spans="1:10" ht="12.75">
      <c r="A109" s="171"/>
      <c r="B109" s="205">
        <f>IF(INDEX(Normen!$A$12:$I$128,J109,9)&lt;&gt;"NB",0.5*(INDEX(Normen!$A$12:$I$128,J109,8)+INDEX(Normen!$A$12:$I$128,J109,9)),"NB")</f>
        <v>0</v>
      </c>
      <c r="C109" s="38"/>
      <c r="D109" s="38"/>
      <c r="E109" s="68">
        <f>IF(AND(B109&lt;&gt;"NB",B109&gt;0,C109&gt;INDEX(Normen!$A$12:$I$128,J109,8)),(C109)*D109/B109,0)</f>
        <v>0</v>
      </c>
      <c r="J109" s="242">
        <v>1</v>
      </c>
    </row>
    <row r="110" spans="1:10" ht="12.75">
      <c r="A110" s="171"/>
      <c r="B110" s="205">
        <f>IF(INDEX(Normen!$A$12:$I$128,J110,9)&lt;&gt;"NB",0.5*(INDEX(Normen!$A$12:$I$128,J110,8)+INDEX(Normen!$A$12:$I$128,J110,9)),"NB")</f>
        <v>0</v>
      </c>
      <c r="C110" s="38"/>
      <c r="D110" s="38"/>
      <c r="E110" s="68">
        <f>IF(AND(B110&lt;&gt;"NB",B110&gt;0,C110&gt;INDEX(Normen!$A$12:$I$128,J110,8)),(C110)*D110/B110,0)</f>
        <v>0</v>
      </c>
      <c r="J110" s="242">
        <v>1</v>
      </c>
    </row>
    <row r="111" spans="1:10" ht="12.75">
      <c r="A111" s="171"/>
      <c r="B111" s="205">
        <f>IF(INDEX(Normen!$A$12:$I$128,J111,9)&lt;&gt;"NB",0.5*(INDEX(Normen!$A$12:$I$128,J111,8)+INDEX(Normen!$A$12:$I$128,J111,9)),"NB")</f>
        <v>0</v>
      </c>
      <c r="C111" s="38"/>
      <c r="D111" s="38"/>
      <c r="E111" s="68">
        <f>IF(AND(B111&lt;&gt;"NB",B111&gt;0,C111&gt;INDEX(Normen!$A$12:$I$128,J111,8)),(C111)*D111/B111,0)</f>
        <v>0</v>
      </c>
      <c r="J111" s="242">
        <v>1</v>
      </c>
    </row>
    <row r="112" spans="1:5" ht="12.75">
      <c r="A112" s="171"/>
      <c r="B112" s="205"/>
      <c r="C112" s="38"/>
      <c r="D112" s="38"/>
      <c r="E112" s="68">
        <f>IF(AND(B112&lt;&gt;"NB",B112&gt;0,C112&gt;INDEX(Normen!$A$12:$I$128,J112,8)),(C112)*D112/B112,0)</f>
        <v>0</v>
      </c>
    </row>
    <row r="113" spans="1:5" ht="12.75">
      <c r="A113" s="171"/>
      <c r="B113" s="205"/>
      <c r="C113" s="38"/>
      <c r="D113" s="38"/>
      <c r="E113" s="68">
        <f>IF(AND(B113&lt;&gt;"NB",B113&gt;0,C113&gt;INDEX(Normen!$A$12:$I$128,J113,8)),(C113)*D113/B113,0)</f>
        <v>0</v>
      </c>
    </row>
    <row r="114" spans="1:5" ht="12.75">
      <c r="A114" s="171"/>
      <c r="B114" s="205"/>
      <c r="C114" s="38"/>
      <c r="D114" s="38"/>
      <c r="E114" s="68">
        <f>IF(AND(B114&lt;&gt;"NB",B114&gt;0,C114&gt;INDEX(Normen!$A$12:$I$128,J114,8)),(C114)*D114/B114,0)</f>
        <v>0</v>
      </c>
    </row>
    <row r="115" spans="1:5" ht="12.75">
      <c r="A115" s="171"/>
      <c r="B115" s="205"/>
      <c r="C115" s="38"/>
      <c r="D115" s="38"/>
      <c r="E115" s="68">
        <f>IF(AND(B115&lt;&gt;"NB",B115&gt;0,C115&gt;INDEX(Normen!$A$12:$I$128,J115,8)),(C115)*D115/B115,0)</f>
        <v>0</v>
      </c>
    </row>
    <row r="116" spans="1:5" ht="12.75">
      <c r="A116" s="165"/>
      <c r="B116" s="68"/>
      <c r="C116" s="68"/>
      <c r="D116" s="68"/>
      <c r="E116" s="68"/>
    </row>
    <row r="117" spans="1:5" ht="12.75">
      <c r="A117" s="136" t="str">
        <f>A103</f>
        <v>M7 opp. wateremissies</v>
      </c>
      <c r="B117" s="74">
        <f>SUM(E105:E114)</f>
        <v>0</v>
      </c>
      <c r="C117" s="68"/>
      <c r="D117" s="68"/>
      <c r="E117" s="68"/>
    </row>
    <row r="118" ht="12.75"/>
    <row r="119" ht="12.75">
      <c r="A119" s="20"/>
    </row>
    <row r="120" ht="12.75">
      <c r="A120" s="55" t="str">
        <f>A1</f>
        <v>Variant III</v>
      </c>
    </row>
    <row r="121" ht="12.75">
      <c r="A121" s="55" t="str">
        <f>A12</f>
        <v>M8 afvalvorming</v>
      </c>
    </row>
    <row r="122" spans="1:2" ht="12.75">
      <c r="A122" s="165" t="s">
        <v>75</v>
      </c>
      <c r="B122" s="38"/>
    </row>
    <row r="123" spans="1:2" ht="12.75">
      <c r="A123" s="165" t="s">
        <v>76</v>
      </c>
      <c r="B123" s="38"/>
    </row>
    <row r="124" spans="1:2" ht="12.75">
      <c r="A124" s="165" t="s">
        <v>77</v>
      </c>
      <c r="B124" s="38"/>
    </row>
    <row r="125" spans="1:2" ht="12.75">
      <c r="A125" s="165"/>
      <c r="B125" s="71"/>
    </row>
    <row r="126" spans="1:2" ht="12.75">
      <c r="A126" s="165"/>
      <c r="B126" s="71"/>
    </row>
    <row r="127" spans="1:2" ht="12.75">
      <c r="A127" s="136" t="str">
        <f>A121</f>
        <v>M8 afvalvorming</v>
      </c>
      <c r="B127" s="74">
        <f>SUM(B122:B124)</f>
        <v>0</v>
      </c>
    </row>
    <row r="128" ht="12.75"/>
    <row r="129" ht="12.75">
      <c r="A129" s="20"/>
    </row>
    <row r="130" ht="12.75">
      <c r="A130" s="55" t="str">
        <f>A1</f>
        <v>Variant III</v>
      </c>
    </row>
    <row r="131" ht="12.75">
      <c r="A131" s="55" t="str">
        <f>A13</f>
        <v>M9 ruimtebeslag</v>
      </c>
    </row>
    <row r="132" spans="1:6" ht="12.75">
      <c r="A132" s="169"/>
      <c r="B132" s="168" t="s">
        <v>78</v>
      </c>
      <c r="C132" s="168" t="s">
        <v>79</v>
      </c>
      <c r="D132" s="168" t="s">
        <v>80</v>
      </c>
      <c r="E132" s="168" t="s">
        <v>81</v>
      </c>
      <c r="F132" s="168" t="s">
        <v>82</v>
      </c>
    </row>
    <row r="133" spans="1:6" ht="12.75">
      <c r="A133" s="165" t="s">
        <v>83</v>
      </c>
      <c r="B133" s="38"/>
      <c r="C133" s="38"/>
      <c r="D133" s="38"/>
      <c r="E133" s="38"/>
      <c r="F133" s="38"/>
    </row>
    <row r="134" spans="1:6" ht="12.75">
      <c r="A134" s="165" t="s">
        <v>84</v>
      </c>
      <c r="B134" s="38"/>
      <c r="C134" s="38"/>
      <c r="D134" s="38"/>
      <c r="E134" s="38"/>
      <c r="F134" s="38"/>
    </row>
    <row r="135" spans="1:6" ht="12.75">
      <c r="A135" s="136" t="s">
        <v>85</v>
      </c>
      <c r="B135" s="68">
        <f>B133*B134</f>
        <v>0</v>
      </c>
      <c r="C135" s="68">
        <f>C133*C134</f>
        <v>0</v>
      </c>
      <c r="D135" s="68">
        <f>D133*D134</f>
        <v>0</v>
      </c>
      <c r="E135" s="68">
        <f>E133*E134</f>
        <v>0</v>
      </c>
      <c r="F135" s="68">
        <f>F133*F134</f>
        <v>0</v>
      </c>
    </row>
    <row r="136" spans="1:6" ht="12.75">
      <c r="A136" s="165"/>
      <c r="B136" s="74" t="str">
        <f>IF(B134&gt;30,"Maximaal 30 invullen!!"," ")</f>
        <v> </v>
      </c>
      <c r="C136" s="74" t="str">
        <f>IF(C134&gt;30,"Maximaal 30 invullen!!"," ")</f>
        <v> </v>
      </c>
      <c r="D136" s="74" t="str">
        <f>IF(D134&gt;30,"Maximaal 30 invullen!!"," ")</f>
        <v> </v>
      </c>
      <c r="E136" s="74" t="str">
        <f>IF(E134&gt;30,"Maximaal 30 invullen!!"," ")</f>
        <v> </v>
      </c>
      <c r="F136" s="74" t="str">
        <f>IF(F134&gt;30,"Maximaal 30 invullen!!"," ")</f>
        <v> </v>
      </c>
    </row>
    <row r="137" spans="1:6" ht="12.75">
      <c r="A137" s="136" t="str">
        <f>A131</f>
        <v>M9 ruimtebeslag</v>
      </c>
      <c r="B137" s="74">
        <f>SUM(B135:F135)</f>
        <v>0</v>
      </c>
      <c r="C137" s="68"/>
      <c r="D137" s="68"/>
      <c r="E137" s="68"/>
      <c r="F137" s="68"/>
    </row>
    <row r="138" ht="12.75"/>
    <row r="139" ht="12.75"/>
    <row r="140" ht="12.75">
      <c r="A140" s="55" t="str">
        <f>A1</f>
        <v>Variant III</v>
      </c>
    </row>
    <row r="141" spans="1:14" s="19" customFormat="1" ht="12.75">
      <c r="A141" s="164" t="str">
        <f>A16</f>
        <v>Effectenoverzicht</v>
      </c>
      <c r="B141" s="132" t="s">
        <v>51</v>
      </c>
      <c r="C141" s="132" t="s">
        <v>86</v>
      </c>
      <c r="J141" s="78"/>
      <c r="K141" s="78"/>
      <c r="L141" s="78"/>
      <c r="M141" s="79"/>
      <c r="N141" s="80"/>
    </row>
    <row r="142" spans="1:14" ht="12.75">
      <c r="A142" s="165" t="str">
        <f>A36</f>
        <v>M1 grondkwaliteit</v>
      </c>
      <c r="B142" s="68" t="s">
        <v>360</v>
      </c>
      <c r="C142" s="92">
        <f>B36/1000</f>
        <v>0</v>
      </c>
      <c r="D142" s="51"/>
      <c r="F142" s="81"/>
      <c r="M142" s="82"/>
      <c r="N142" s="83"/>
    </row>
    <row r="143" spans="1:14" ht="12.75">
      <c r="A143" s="165" t="str">
        <f>A54</f>
        <v>M2 grondwaterkwaliteit</v>
      </c>
      <c r="B143" s="68" t="s">
        <v>360</v>
      </c>
      <c r="C143" s="92">
        <f>B54/1000</f>
        <v>0</v>
      </c>
      <c r="D143" s="51"/>
      <c r="F143" s="81"/>
      <c r="M143" s="82"/>
      <c r="N143" s="83"/>
    </row>
    <row r="144" spans="1:14" ht="14.25">
      <c r="A144" s="165" t="str">
        <f>A62</f>
        <v>M3 verlies grond</v>
      </c>
      <c r="B144" s="68" t="s">
        <v>87</v>
      </c>
      <c r="C144" s="92">
        <f>(-B62)</f>
        <v>0</v>
      </c>
      <c r="E144" s="51"/>
      <c r="F144" s="81"/>
      <c r="M144" s="82"/>
      <c r="N144" s="83"/>
    </row>
    <row r="145" spans="1:14" ht="14.25">
      <c r="A145" s="165" t="str">
        <f>A70</f>
        <v>M4 verlies grondwater</v>
      </c>
      <c r="B145" s="68" t="s">
        <v>88</v>
      </c>
      <c r="C145" s="92">
        <f>-B70/1000</f>
        <v>0</v>
      </c>
      <c r="E145" s="51"/>
      <c r="F145" s="81"/>
      <c r="M145" s="82"/>
      <c r="N145" s="83"/>
    </row>
    <row r="146" spans="1:14" ht="12.75">
      <c r="A146" s="165" t="str">
        <f>A98</f>
        <v>M5 energiegebruik</v>
      </c>
      <c r="B146" s="68" t="str">
        <f>C98</f>
        <v>inw.eq</v>
      </c>
      <c r="C146" s="69">
        <f>-B98</f>
        <v>0</v>
      </c>
      <c r="E146" s="51"/>
      <c r="F146" s="81"/>
      <c r="M146" s="82"/>
      <c r="N146" s="83"/>
    </row>
    <row r="147" spans="1:14" ht="12.75">
      <c r="A147" s="165" t="str">
        <f>A99</f>
        <v>M6 luchtemissies</v>
      </c>
      <c r="B147" s="68" t="s">
        <v>74</v>
      </c>
      <c r="C147" s="69">
        <f>-B99</f>
        <v>0</v>
      </c>
      <c r="E147" s="51"/>
      <c r="F147" s="81"/>
      <c r="M147" s="82"/>
      <c r="N147" s="83"/>
    </row>
    <row r="148" spans="1:14" ht="12.75">
      <c r="A148" s="165" t="str">
        <f>A117</f>
        <v>M7 opp. wateremissies</v>
      </c>
      <c r="B148" s="68" t="s">
        <v>360</v>
      </c>
      <c r="C148" s="69">
        <f>-B117/1000</f>
        <v>0</v>
      </c>
      <c r="E148" s="51"/>
      <c r="F148" s="81"/>
      <c r="M148" s="82"/>
      <c r="N148" s="83"/>
    </row>
    <row r="149" spans="1:14" ht="14.25">
      <c r="A149" s="165" t="str">
        <f>A127</f>
        <v>M8 afvalvorming</v>
      </c>
      <c r="B149" s="68" t="s">
        <v>87</v>
      </c>
      <c r="C149" s="69">
        <f>-B127</f>
        <v>0</v>
      </c>
      <c r="E149" s="51"/>
      <c r="F149" s="81"/>
      <c r="M149" s="82"/>
      <c r="N149" s="83"/>
    </row>
    <row r="150" spans="1:14" ht="14.25">
      <c r="A150" s="165" t="str">
        <f>A137</f>
        <v>M9 ruimtebeslag</v>
      </c>
      <c r="B150" s="68" t="s">
        <v>89</v>
      </c>
      <c r="C150" s="69">
        <f>-B137</f>
        <v>0</v>
      </c>
      <c r="E150" s="51"/>
      <c r="F150" s="81"/>
      <c r="M150" s="82"/>
      <c r="N150" s="83"/>
    </row>
    <row r="151" ht="12.75">
      <c r="A151" s="58"/>
    </row>
    <row r="154" ht="12.75"/>
    <row r="155" ht="12.75"/>
    <row r="156" ht="12.75"/>
  </sheetData>
  <sheetProtection sheet="1" scenarios="1"/>
  <printOptions/>
  <pageMargins left="0.5905511811023623" right="0.5905511811023623" top="0.984251968503937" bottom="0.984251968503937" header="0.5118110236220472" footer="0.5118110236220472"/>
  <pageSetup fitToHeight="3" fitToWidth="1" horizontalDpi="300" verticalDpi="300" orientation="portrait" paperSize="9" scale="94" r:id="rId3"/>
  <headerFooter alignWithMargins="0">
    <oddHeader>&amp;C&amp;F</oddHeader>
    <oddFooter>&amp;CMilieuverdienste in RMK</oddFooter>
  </headerFooter>
  <legacyDrawing r:id="rId2"/>
</worksheet>
</file>

<file path=xl/worksheets/sheet7.xml><?xml version="1.0" encoding="utf-8"?>
<worksheet xmlns="http://schemas.openxmlformats.org/spreadsheetml/2006/main" xmlns:r="http://schemas.openxmlformats.org/officeDocument/2006/relationships">
  <sheetPr codeName="Sheet16">
    <pageSetUpPr fitToPage="1"/>
  </sheetPr>
  <dimension ref="A1:N151"/>
  <sheetViews>
    <sheetView showGridLines="0" zoomScale="90" zoomScaleNormal="90" workbookViewId="0" topLeftCell="A1">
      <selection activeCell="A2" sqref="A2"/>
    </sheetView>
  </sheetViews>
  <sheetFormatPr defaultColWidth="9.140625" defaultRowHeight="12.75"/>
  <cols>
    <col min="1" max="1" width="27.7109375" style="56" customWidth="1"/>
    <col min="2" max="2" width="10.28125" style="20" customWidth="1"/>
    <col min="3" max="3" width="9.421875" style="20" customWidth="1"/>
    <col min="4" max="4" width="11.7109375" style="20" customWidth="1"/>
    <col min="5" max="5" width="8.00390625" style="20" customWidth="1"/>
    <col min="6" max="6" width="9.421875" style="20" customWidth="1"/>
    <col min="7" max="7" width="10.140625" style="20" customWidth="1"/>
    <col min="8" max="8" width="10.8515625" style="20" customWidth="1"/>
    <col min="9" max="9" width="0" style="20" hidden="1" customWidth="1"/>
    <col min="10" max="10" width="6.28125" style="52" hidden="1" customWidth="1"/>
    <col min="11" max="12" width="5.140625" style="52" hidden="1" customWidth="1"/>
    <col min="13" max="15" width="8.8515625" style="20" customWidth="1"/>
    <col min="16" max="16" width="13.421875" style="20" customWidth="1"/>
    <col min="17" max="17" width="10.57421875" style="20" customWidth="1"/>
    <col min="18" max="16384" width="8.8515625" style="20" customWidth="1"/>
  </cols>
  <sheetData>
    <row r="1" spans="1:2" ht="18">
      <c r="A1" s="75" t="str">
        <f>Inhoud!E14</f>
        <v>Variant IV</v>
      </c>
      <c r="B1" s="100" t="s">
        <v>41</v>
      </c>
    </row>
    <row r="2" ht="12.75"/>
    <row r="3" ht="12.75">
      <c r="A3" s="62" t="str">
        <f>Huidig!A3</f>
        <v>Terug naar inhoud:</v>
      </c>
    </row>
    <row r="4" ht="12.75">
      <c r="A4" s="55" t="s">
        <v>42</v>
      </c>
    </row>
    <row r="5" ht="12.75">
      <c r="A5" s="55" t="s">
        <v>20</v>
      </c>
    </row>
    <row r="6" ht="12.75">
      <c r="A6" s="56" t="s">
        <v>320</v>
      </c>
    </row>
    <row r="7" ht="12.75">
      <c r="A7" s="56" t="s">
        <v>321</v>
      </c>
    </row>
    <row r="8" ht="12.75">
      <c r="A8" s="56" t="s">
        <v>322</v>
      </c>
    </row>
    <row r="9" ht="12.75">
      <c r="A9" s="56" t="s">
        <v>323</v>
      </c>
    </row>
    <row r="10" ht="12.75">
      <c r="A10" s="56" t="s">
        <v>382</v>
      </c>
    </row>
    <row r="11" ht="12.75">
      <c r="A11" s="56" t="s">
        <v>316</v>
      </c>
    </row>
    <row r="12" ht="12.75">
      <c r="A12" s="56" t="s">
        <v>406</v>
      </c>
    </row>
    <row r="13" ht="12.75">
      <c r="A13" s="56" t="s">
        <v>317</v>
      </c>
    </row>
    <row r="14" ht="12.75"/>
    <row r="15" ht="12.75">
      <c r="A15" s="55" t="s">
        <v>296</v>
      </c>
    </row>
    <row r="16" ht="12.75">
      <c r="A16" s="56" t="s">
        <v>277</v>
      </c>
    </row>
    <row r="17" ht="12.75"/>
    <row r="18" ht="12.75"/>
    <row r="19" spans="1:12" s="176" customFormat="1" ht="12.75">
      <c r="A19" s="175"/>
      <c r="J19" s="177"/>
      <c r="K19" s="177"/>
      <c r="L19" s="177"/>
    </row>
    <row r="20" spans="1:12" s="76" customFormat="1" ht="12.75">
      <c r="A20" s="166"/>
      <c r="J20" s="167"/>
      <c r="K20" s="167"/>
      <c r="L20" s="167"/>
    </row>
    <row r="21" ht="12.75">
      <c r="A21" s="55" t="str">
        <f>A1</f>
        <v>Variant IV</v>
      </c>
    </row>
    <row r="22" ht="12.75">
      <c r="A22" s="55" t="str">
        <f>A6</f>
        <v>M1 grondkwaliteit</v>
      </c>
    </row>
    <row r="23" spans="1:12" s="19" customFormat="1" ht="24" customHeight="1">
      <c r="A23" s="170" t="str">
        <f>Huidig!A24</f>
        <v>Verontreinigende stof</v>
      </c>
      <c r="B23" s="132" t="str">
        <f>Huidig!B24</f>
        <v>s' [mg/kg]</v>
      </c>
      <c r="C23" s="132" t="str">
        <f>Huidig!C24</f>
        <v>i' [mg/kg]</v>
      </c>
      <c r="D23" s="132" t="s">
        <v>418</v>
      </c>
      <c r="E23" s="132" t="str">
        <f>Huidig!G24</f>
        <v>lut. [%]</v>
      </c>
      <c r="F23" s="132" t="s">
        <v>43</v>
      </c>
      <c r="G23" s="132" t="str">
        <f>Huidig!I24</f>
        <v>Grond- kubels [m3]</v>
      </c>
      <c r="H23" s="132" t="s">
        <v>329</v>
      </c>
      <c r="J23" s="131" t="str">
        <f>Huidig!L24</f>
        <v>s</v>
      </c>
      <c r="K23" s="131" t="str">
        <f>Huidig!M24</f>
        <v>i</v>
      </c>
      <c r="L23" s="131" t="str">
        <f>Huidig!N24</f>
        <v>t'</v>
      </c>
    </row>
    <row r="24" spans="1:12" ht="12.75">
      <c r="A24" s="165">
        <f>IF(Huidig!$O25&gt;1,INDEX(Normen!$A$12:$C$128,Huidig!$O25,1),"")</f>
      </c>
      <c r="B24" s="69">
        <f aca="true" t="shared" si="0" ref="B24:B34">J24</f>
        <v>0</v>
      </c>
      <c r="C24" s="69">
        <f aca="true" t="shared" si="1" ref="C24:C34">K24</f>
        <v>0</v>
      </c>
      <c r="D24" s="38">
        <f>30*Huidig!D25</f>
        <v>0</v>
      </c>
      <c r="E24" s="68">
        <f>Huidig!G25</f>
        <v>25</v>
      </c>
      <c r="F24" s="68">
        <f>Huidig!S25</f>
        <v>10</v>
      </c>
      <c r="G24" s="71">
        <f>IF(D24&gt;0,1000000*D24/(30*L24),0)</f>
        <v>0</v>
      </c>
      <c r="H24" s="71">
        <f>Huidig!J25-0.0000017*D24/30</f>
        <v>0</v>
      </c>
      <c r="J24" s="77">
        <f>Huidig!B25</f>
        <v>0</v>
      </c>
      <c r="K24" s="77">
        <f>Huidig!C25</f>
        <v>0</v>
      </c>
      <c r="L24" s="77">
        <f>Huidig!N25</f>
        <v>0</v>
      </c>
    </row>
    <row r="25" spans="1:12" ht="12.75">
      <c r="A25" s="165">
        <f>IF(Huidig!$O26&gt;1,INDEX(Normen!$A$12:$C$128,Huidig!$O26,1),"")</f>
      </c>
      <c r="B25" s="69">
        <f t="shared" si="0"/>
        <v>0</v>
      </c>
      <c r="C25" s="69">
        <f t="shared" si="1"/>
        <v>0</v>
      </c>
      <c r="D25" s="38">
        <f>30*Huidig!D26</f>
        <v>0</v>
      </c>
      <c r="E25" s="68">
        <f>Huidig!G26</f>
        <v>25</v>
      </c>
      <c r="F25" s="68">
        <f>Huidig!S26</f>
        <v>10</v>
      </c>
      <c r="G25" s="71">
        <f aca="true" t="shared" si="2" ref="G25:G34">IF(D25&gt;0,1000000*D25/(30*L25),0)</f>
        <v>0</v>
      </c>
      <c r="H25" s="71">
        <f>Huidig!J26-0.0000017*D25/30</f>
        <v>0</v>
      </c>
      <c r="J25" s="77">
        <f>Huidig!B26</f>
        <v>0</v>
      </c>
      <c r="K25" s="77">
        <f>Huidig!C26</f>
        <v>0</v>
      </c>
      <c r="L25" s="77">
        <f>Huidig!N26</f>
        <v>0</v>
      </c>
    </row>
    <row r="26" spans="1:12" ht="12.75">
      <c r="A26" s="165">
        <f>IF(Huidig!$O27&gt;1,INDEX(Normen!$A$12:$C$128,Huidig!$O27,1),"")</f>
      </c>
      <c r="B26" s="69">
        <f t="shared" si="0"/>
        <v>0</v>
      </c>
      <c r="C26" s="69">
        <f t="shared" si="1"/>
        <v>0</v>
      </c>
      <c r="D26" s="38">
        <f>30*Huidig!D27</f>
        <v>0</v>
      </c>
      <c r="E26" s="68">
        <f>Huidig!G27</f>
        <v>25</v>
      </c>
      <c r="F26" s="68">
        <f>Huidig!S27</f>
        <v>10</v>
      </c>
      <c r="G26" s="71">
        <f t="shared" si="2"/>
        <v>0</v>
      </c>
      <c r="H26" s="71">
        <f>Huidig!J27-0.0000017*D26/30</f>
        <v>0</v>
      </c>
      <c r="J26" s="77">
        <f>Huidig!B27</f>
        <v>0</v>
      </c>
      <c r="K26" s="77">
        <f>Huidig!C27</f>
        <v>0</v>
      </c>
      <c r="L26" s="77">
        <f>Huidig!N27</f>
        <v>0</v>
      </c>
    </row>
    <row r="27" spans="1:12" ht="12.75">
      <c r="A27" s="165">
        <f>IF(Huidig!$O28&gt;1,INDEX(Normen!$A$12:$C$128,Huidig!$O28,1),"")</f>
      </c>
      <c r="B27" s="69">
        <f t="shared" si="0"/>
        <v>0</v>
      </c>
      <c r="C27" s="69">
        <f t="shared" si="1"/>
        <v>0</v>
      </c>
      <c r="D27" s="38">
        <f>30*Huidig!D28</f>
        <v>0</v>
      </c>
      <c r="E27" s="68">
        <f>Huidig!G28</f>
        <v>25</v>
      </c>
      <c r="F27" s="68">
        <f>Huidig!S28</f>
        <v>10</v>
      </c>
      <c r="G27" s="71">
        <f t="shared" si="2"/>
        <v>0</v>
      </c>
      <c r="H27" s="71">
        <f>Huidig!J28-0.0000017*D27/30</f>
        <v>0</v>
      </c>
      <c r="J27" s="77">
        <f>Huidig!B28</f>
        <v>0</v>
      </c>
      <c r="K27" s="77">
        <f>Huidig!C28</f>
        <v>0</v>
      </c>
      <c r="L27" s="77">
        <f>Huidig!N28</f>
        <v>0</v>
      </c>
    </row>
    <row r="28" spans="1:12" ht="12.75">
      <c r="A28" s="165">
        <f>IF(Huidig!$O29&gt;1,INDEX(Normen!$A$12:$C$128,Huidig!$O29,1),"")</f>
      </c>
      <c r="B28" s="69">
        <f t="shared" si="0"/>
        <v>0</v>
      </c>
      <c r="C28" s="69">
        <f t="shared" si="1"/>
        <v>0</v>
      </c>
      <c r="D28" s="38">
        <f>30*Huidig!D29</f>
        <v>0</v>
      </c>
      <c r="E28" s="68">
        <f>Huidig!G29</f>
        <v>25</v>
      </c>
      <c r="F28" s="68">
        <f>Huidig!S29</f>
        <v>10</v>
      </c>
      <c r="G28" s="71">
        <f t="shared" si="2"/>
        <v>0</v>
      </c>
      <c r="H28" s="71">
        <f>Huidig!J29-0.0000017*D28/30</f>
        <v>0</v>
      </c>
      <c r="J28" s="77">
        <f>Huidig!B29</f>
        <v>0</v>
      </c>
      <c r="K28" s="77">
        <f>Huidig!C29</f>
        <v>0</v>
      </c>
      <c r="L28" s="77">
        <f>Huidig!N29</f>
        <v>0</v>
      </c>
    </row>
    <row r="29" spans="1:12" ht="12.75">
      <c r="A29" s="165">
        <f>IF(Huidig!$O30&gt;1,INDEX(Normen!$A$12:$C$128,Huidig!$O30,1),"")</f>
      </c>
      <c r="B29" s="69">
        <f t="shared" si="0"/>
        <v>0</v>
      </c>
      <c r="C29" s="69">
        <f t="shared" si="1"/>
        <v>0</v>
      </c>
      <c r="D29" s="38">
        <f>30*Huidig!D30</f>
        <v>0</v>
      </c>
      <c r="E29" s="68">
        <f>Huidig!G30</f>
        <v>25</v>
      </c>
      <c r="F29" s="68">
        <f>Huidig!S30</f>
        <v>10</v>
      </c>
      <c r="G29" s="71">
        <f t="shared" si="2"/>
        <v>0</v>
      </c>
      <c r="H29" s="71">
        <f>Huidig!J30-0.0000017*D29/30</f>
        <v>0</v>
      </c>
      <c r="J29" s="77">
        <f>Huidig!B30</f>
        <v>0</v>
      </c>
      <c r="K29" s="77">
        <f>Huidig!C30</f>
        <v>0</v>
      </c>
      <c r="L29" s="77">
        <f>Huidig!N30</f>
        <v>0</v>
      </c>
    </row>
    <row r="30" spans="1:12" ht="12.75">
      <c r="A30" s="165">
        <f>IF(Huidig!$O31&gt;1,INDEX(Normen!$A$12:$C$128,Huidig!$O31,1),"")</f>
      </c>
      <c r="B30" s="69">
        <f t="shared" si="0"/>
        <v>0</v>
      </c>
      <c r="C30" s="69">
        <f t="shared" si="1"/>
        <v>0</v>
      </c>
      <c r="D30" s="38">
        <f>30*Huidig!D31</f>
        <v>0</v>
      </c>
      <c r="E30" s="68">
        <f>Huidig!G31</f>
        <v>25</v>
      </c>
      <c r="F30" s="68">
        <f>Huidig!S31</f>
        <v>10</v>
      </c>
      <c r="G30" s="71">
        <f t="shared" si="2"/>
        <v>0</v>
      </c>
      <c r="H30" s="71">
        <f>Huidig!J31-0.0000017*D30/30</f>
        <v>0</v>
      </c>
      <c r="J30" s="77">
        <f>Huidig!B31</f>
        <v>0</v>
      </c>
      <c r="K30" s="77">
        <f>Huidig!C31</f>
        <v>0</v>
      </c>
      <c r="L30" s="77">
        <f>Huidig!N31</f>
        <v>0</v>
      </c>
    </row>
    <row r="31" spans="1:12" ht="12.75">
      <c r="A31" s="165">
        <f>IF(Huidig!$O32&gt;1,INDEX(Normen!$A$12:$C$128,Huidig!$O32,1),"")</f>
      </c>
      <c r="B31" s="69">
        <f t="shared" si="0"/>
        <v>0</v>
      </c>
      <c r="C31" s="69">
        <f t="shared" si="1"/>
        <v>0</v>
      </c>
      <c r="D31" s="38">
        <f>30*Huidig!D32</f>
        <v>0</v>
      </c>
      <c r="E31" s="68">
        <f>Huidig!G32</f>
        <v>25</v>
      </c>
      <c r="F31" s="68">
        <f>Huidig!S32</f>
        <v>10</v>
      </c>
      <c r="G31" s="71">
        <f t="shared" si="2"/>
        <v>0</v>
      </c>
      <c r="H31" s="71">
        <f>Huidig!J32-0.0000017*D31/30</f>
        <v>0</v>
      </c>
      <c r="J31" s="77">
        <f>Huidig!B32</f>
        <v>0</v>
      </c>
      <c r="K31" s="77">
        <f>Huidig!C32</f>
        <v>0</v>
      </c>
      <c r="L31" s="77">
        <f>Huidig!N32</f>
        <v>0</v>
      </c>
    </row>
    <row r="32" spans="1:12" ht="12.75">
      <c r="A32" s="165">
        <f>IF(Huidig!A33="Type een verontreiniging:","",Huidig!A33)</f>
      </c>
      <c r="B32" s="69">
        <f t="shared" si="0"/>
        <v>0</v>
      </c>
      <c r="C32" s="69">
        <f t="shared" si="1"/>
        <v>0</v>
      </c>
      <c r="D32" s="38">
        <f>30*Huidig!D33</f>
        <v>0</v>
      </c>
      <c r="E32" s="68"/>
      <c r="F32" s="68"/>
      <c r="G32" s="71">
        <f t="shared" si="2"/>
        <v>0</v>
      </c>
      <c r="H32" s="71">
        <f>Huidig!J33-0.0000017*D32/30</f>
        <v>0</v>
      </c>
      <c r="J32" s="77">
        <f>Huidig!B33</f>
        <v>0</v>
      </c>
      <c r="K32" s="77">
        <f>Huidig!C33</f>
        <v>0</v>
      </c>
      <c r="L32" s="77">
        <f>Huidig!N33</f>
        <v>0</v>
      </c>
    </row>
    <row r="33" spans="1:12" ht="12.75">
      <c r="A33" s="165">
        <f>IF(Huidig!A34="Type een verontreiniging:","",Huidig!A34)</f>
      </c>
      <c r="B33" s="69">
        <f t="shared" si="0"/>
        <v>0</v>
      </c>
      <c r="C33" s="69">
        <f t="shared" si="1"/>
        <v>0</v>
      </c>
      <c r="D33" s="38">
        <f>30*Huidig!D34</f>
        <v>0</v>
      </c>
      <c r="E33" s="68"/>
      <c r="F33" s="68"/>
      <c r="G33" s="71">
        <f t="shared" si="2"/>
        <v>0</v>
      </c>
      <c r="H33" s="71">
        <f>Huidig!J34-0.0000017*D33/30</f>
        <v>0</v>
      </c>
      <c r="J33" s="77">
        <f>Huidig!B34</f>
        <v>0</v>
      </c>
      <c r="K33" s="77">
        <f>Huidig!C34</f>
        <v>0</v>
      </c>
      <c r="L33" s="77">
        <f>Huidig!N34</f>
        <v>0</v>
      </c>
    </row>
    <row r="34" spans="1:12" ht="12.75">
      <c r="A34" s="165">
        <f>IF(Huidig!A35="Type een verontreiniging:","",Huidig!A35)</f>
      </c>
      <c r="B34" s="69">
        <f t="shared" si="0"/>
        <v>0</v>
      </c>
      <c r="C34" s="69">
        <f t="shared" si="1"/>
        <v>0</v>
      </c>
      <c r="D34" s="38">
        <f>30*Huidig!D35</f>
        <v>0</v>
      </c>
      <c r="E34" s="68"/>
      <c r="F34" s="68"/>
      <c r="G34" s="71">
        <f t="shared" si="2"/>
        <v>0</v>
      </c>
      <c r="H34" s="71">
        <f>Huidig!J35-0.0000017*D34/30</f>
        <v>0</v>
      </c>
      <c r="J34" s="77">
        <f>Huidig!B35</f>
        <v>0</v>
      </c>
      <c r="K34" s="77">
        <f>Huidig!C35</f>
        <v>0</v>
      </c>
      <c r="L34" s="77">
        <f>Huidig!N35</f>
        <v>0</v>
      </c>
    </row>
    <row r="35" spans="1:12" ht="12.75">
      <c r="A35" s="136" t="s">
        <v>36</v>
      </c>
      <c r="B35" s="68"/>
      <c r="C35" s="68"/>
      <c r="D35" s="68"/>
      <c r="E35" s="68"/>
      <c r="F35" s="68"/>
      <c r="G35" s="84">
        <f>SUM(G24:G34)</f>
        <v>0</v>
      </c>
      <c r="H35" s="68"/>
      <c r="J35" s="77"/>
      <c r="K35" s="77"/>
      <c r="L35" s="77"/>
    </row>
    <row r="36" spans="1:12" ht="12.75">
      <c r="A36" s="136" t="str">
        <f>A22</f>
        <v>M1 grondkwaliteit</v>
      </c>
      <c r="B36" s="74">
        <f>Huidig!I36-'IV'!G35</f>
        <v>0</v>
      </c>
      <c r="C36" s="68"/>
      <c r="D36" s="68"/>
      <c r="E36" s="68"/>
      <c r="F36" s="68"/>
      <c r="G36" s="68"/>
      <c r="H36" s="68"/>
      <c r="J36" s="77"/>
      <c r="K36" s="77"/>
      <c r="L36" s="77"/>
    </row>
    <row r="37" spans="10:12" ht="12.75">
      <c r="J37" s="77"/>
      <c r="K37" s="77"/>
      <c r="L37" s="77"/>
    </row>
    <row r="38" spans="1:12" ht="12.75">
      <c r="A38" s="20"/>
      <c r="J38" s="77"/>
      <c r="K38" s="77"/>
      <c r="L38" s="77"/>
    </row>
    <row r="39" spans="1:12" ht="12.75">
      <c r="A39" s="55" t="str">
        <f>A1</f>
        <v>Variant IV</v>
      </c>
      <c r="J39" s="77"/>
      <c r="K39" s="77"/>
      <c r="L39" s="77"/>
    </row>
    <row r="40" spans="1:12" ht="12.75">
      <c r="A40" s="55" t="str">
        <f>A7</f>
        <v>M2 grondwaterkwaliteit</v>
      </c>
      <c r="J40" s="77"/>
      <c r="K40" s="77"/>
      <c r="L40" s="77"/>
    </row>
    <row r="41" spans="1:12" s="19" customFormat="1" ht="38.25" customHeight="1">
      <c r="A41" s="170" t="str">
        <f>Huidig!A42</f>
        <v>Verontreinigende stof</v>
      </c>
      <c r="B41" s="132" t="str">
        <f>Huidig!B42</f>
        <v>s [ug/l]</v>
      </c>
      <c r="C41" s="132" t="str">
        <f>Huidig!C42</f>
        <v>i [ug/l]</v>
      </c>
      <c r="D41" s="132" t="s">
        <v>418</v>
      </c>
      <c r="E41" s="132" t="str">
        <f>Huidig!I42</f>
        <v>Water-kubels [m3]</v>
      </c>
      <c r="J41" s="133" t="str">
        <f>Huidig!M42</f>
        <v>t</v>
      </c>
      <c r="K41" s="134"/>
      <c r="L41" s="78"/>
    </row>
    <row r="42" spans="1:11" ht="12.75">
      <c r="A42" s="165">
        <f>IF(Huidig!$P43&gt;1,INDEX(Normen!$A$12:$C$128,Huidig!$P43,1),"")</f>
      </c>
      <c r="B42" s="68">
        <f>Huidig!B43</f>
        <v>0</v>
      </c>
      <c r="C42" s="68">
        <f>Huidig!C43</f>
        <v>0</v>
      </c>
      <c r="D42" s="38">
        <f>30*Huidig!D43</f>
        <v>0</v>
      </c>
      <c r="E42" s="68">
        <f>IF(D42&gt;0,1000000000*D42/(30*J42),0)</f>
        <v>0</v>
      </c>
      <c r="F42" s="61"/>
      <c r="J42" s="77">
        <f aca="true" t="shared" si="3" ref="J42:J52">0.5*(B42+C42)</f>
        <v>0</v>
      </c>
      <c r="K42" s="77"/>
    </row>
    <row r="43" spans="1:11" ht="12.75">
      <c r="A43" s="165">
        <f>IF(Huidig!$P44&gt;1,INDEX(Normen!$A$12:$C$128,Huidig!$P44,1),"")</f>
      </c>
      <c r="B43" s="68">
        <f>Huidig!B44</f>
        <v>0</v>
      </c>
      <c r="C43" s="68">
        <f>Huidig!C44</f>
        <v>0</v>
      </c>
      <c r="D43" s="38">
        <f>30*Huidig!D44</f>
        <v>0</v>
      </c>
      <c r="E43" s="68">
        <f aca="true" t="shared" si="4" ref="E43:E52">IF(D43&gt;0,1000000000*D43/(30*J43),0)</f>
        <v>0</v>
      </c>
      <c r="F43" s="61"/>
      <c r="J43" s="77">
        <f t="shared" si="3"/>
        <v>0</v>
      </c>
      <c r="K43" s="77"/>
    </row>
    <row r="44" spans="1:11" ht="12.75">
      <c r="A44" s="165">
        <f>IF(Huidig!$P45&gt;1,INDEX(Normen!$A$12:$C$128,Huidig!$P45,1),"")</f>
      </c>
      <c r="B44" s="68">
        <f>Huidig!B45</f>
        <v>0</v>
      </c>
      <c r="C44" s="68">
        <f>Huidig!C45</f>
        <v>0</v>
      </c>
      <c r="D44" s="38">
        <f>30*Huidig!D45</f>
        <v>0</v>
      </c>
      <c r="E44" s="68">
        <f t="shared" si="4"/>
        <v>0</v>
      </c>
      <c r="F44" s="61"/>
      <c r="J44" s="77">
        <f t="shared" si="3"/>
        <v>0</v>
      </c>
      <c r="K44" s="77"/>
    </row>
    <row r="45" spans="1:11" ht="12.75">
      <c r="A45" s="165">
        <f>IF(Huidig!$P46&gt;1,INDEX(Normen!$A$12:$C$128,Huidig!$P46,1),"")</f>
      </c>
      <c r="B45" s="68">
        <f>Huidig!B46</f>
        <v>0</v>
      </c>
      <c r="C45" s="68">
        <f>Huidig!C46</f>
        <v>0</v>
      </c>
      <c r="D45" s="38">
        <f>30*Huidig!D46</f>
        <v>0</v>
      </c>
      <c r="E45" s="68">
        <f t="shared" si="4"/>
        <v>0</v>
      </c>
      <c r="F45" s="61"/>
      <c r="J45" s="77">
        <f t="shared" si="3"/>
        <v>0</v>
      </c>
      <c r="K45" s="77"/>
    </row>
    <row r="46" spans="1:11" ht="12.75">
      <c r="A46" s="165">
        <f>IF(Huidig!$P47&gt;1,INDEX(Normen!$A$12:$C$128,Huidig!$P47,1),"")</f>
      </c>
      <c r="B46" s="68">
        <f>Huidig!B47</f>
        <v>0</v>
      </c>
      <c r="C46" s="68">
        <f>Huidig!C47</f>
        <v>0</v>
      </c>
      <c r="D46" s="38">
        <f>30*Huidig!D47</f>
        <v>0</v>
      </c>
      <c r="E46" s="68">
        <f t="shared" si="4"/>
        <v>0</v>
      </c>
      <c r="F46" s="61"/>
      <c r="J46" s="77">
        <f t="shared" si="3"/>
        <v>0</v>
      </c>
      <c r="K46" s="77"/>
    </row>
    <row r="47" spans="1:11" ht="12.75">
      <c r="A47" s="165">
        <f>IF(Huidig!$P48&gt;1,INDEX(Normen!$A$12:$C$128,Huidig!$P48,1),"")</f>
      </c>
      <c r="B47" s="68">
        <f>Huidig!B48</f>
        <v>0</v>
      </c>
      <c r="C47" s="68">
        <f>Huidig!C48</f>
        <v>0</v>
      </c>
      <c r="D47" s="38">
        <f>30*Huidig!D48</f>
        <v>0</v>
      </c>
      <c r="E47" s="68">
        <f t="shared" si="4"/>
        <v>0</v>
      </c>
      <c r="F47" s="61"/>
      <c r="J47" s="77">
        <f t="shared" si="3"/>
        <v>0</v>
      </c>
      <c r="K47" s="77"/>
    </row>
    <row r="48" spans="1:11" ht="12.75">
      <c r="A48" s="165">
        <f>IF(Huidig!$P49&gt;1,INDEX(Normen!$A$12:$C$128,Huidig!$P49,1),"")</f>
      </c>
      <c r="B48" s="68">
        <f>Huidig!B49</f>
        <v>0</v>
      </c>
      <c r="C48" s="68">
        <f>Huidig!C49</f>
        <v>0</v>
      </c>
      <c r="D48" s="38">
        <f>30*Huidig!D49</f>
        <v>0</v>
      </c>
      <c r="E48" s="68">
        <f t="shared" si="4"/>
        <v>0</v>
      </c>
      <c r="F48" s="61"/>
      <c r="J48" s="77">
        <f t="shared" si="3"/>
        <v>0</v>
      </c>
      <c r="K48" s="77"/>
    </row>
    <row r="49" spans="1:11" ht="12.75">
      <c r="A49" s="165">
        <f>IF(Huidig!$P50&gt;1,INDEX(Normen!$A$12:$C$128,Huidig!$P50,1),"")</f>
      </c>
      <c r="B49" s="68">
        <f>Huidig!B50</f>
        <v>0</v>
      </c>
      <c r="C49" s="68">
        <f>Huidig!C50</f>
        <v>0</v>
      </c>
      <c r="D49" s="38">
        <f>30*Huidig!D50</f>
        <v>0</v>
      </c>
      <c r="E49" s="68">
        <f t="shared" si="4"/>
        <v>0</v>
      </c>
      <c r="F49" s="61"/>
      <c r="J49" s="77">
        <f t="shared" si="3"/>
        <v>0</v>
      </c>
      <c r="K49" s="77"/>
    </row>
    <row r="50" spans="1:11" ht="12.75">
      <c r="A50" s="165">
        <f>IF(Huidig!A51="Type een verontreiniging:","",Huidig!A51)</f>
      </c>
      <c r="B50" s="68">
        <f>Huidig!B51</f>
        <v>0</v>
      </c>
      <c r="C50" s="68">
        <f>Huidig!C51</f>
        <v>0</v>
      </c>
      <c r="D50" s="38">
        <f>30*Huidig!D51</f>
        <v>0</v>
      </c>
      <c r="E50" s="68">
        <f t="shared" si="4"/>
        <v>0</v>
      </c>
      <c r="F50" s="61"/>
      <c r="J50" s="77">
        <f t="shared" si="3"/>
        <v>0</v>
      </c>
      <c r="K50" s="77"/>
    </row>
    <row r="51" spans="1:11" ht="12.75">
      <c r="A51" s="165">
        <f>IF(Huidig!A52="Type een verontreiniging:","",Huidig!A52)</f>
      </c>
      <c r="B51" s="68">
        <f>Huidig!B52</f>
        <v>0</v>
      </c>
      <c r="C51" s="68">
        <f>Huidig!C52</f>
        <v>0</v>
      </c>
      <c r="D51" s="38">
        <f>30*Huidig!D52</f>
        <v>0</v>
      </c>
      <c r="E51" s="68">
        <f t="shared" si="4"/>
        <v>0</v>
      </c>
      <c r="F51" s="61"/>
      <c r="J51" s="77">
        <f t="shared" si="3"/>
        <v>0</v>
      </c>
      <c r="K51" s="77"/>
    </row>
    <row r="52" spans="1:11" ht="12.75">
      <c r="A52" s="165">
        <f>IF(Huidig!A53="Type een verontreiniging:","",Huidig!A53)</f>
      </c>
      <c r="B52" s="68">
        <f>Huidig!B53</f>
        <v>0</v>
      </c>
      <c r="C52" s="68">
        <f>Huidig!C53</f>
        <v>0</v>
      </c>
      <c r="D52" s="38">
        <f>30*Huidig!D53</f>
        <v>0</v>
      </c>
      <c r="E52" s="68">
        <f t="shared" si="4"/>
        <v>0</v>
      </c>
      <c r="F52" s="61"/>
      <c r="J52" s="77">
        <f t="shared" si="3"/>
        <v>0</v>
      </c>
      <c r="K52" s="77"/>
    </row>
    <row r="53" spans="1:12" ht="12.75">
      <c r="A53" s="136" t="s">
        <v>36</v>
      </c>
      <c r="B53" s="68"/>
      <c r="C53" s="68"/>
      <c r="D53" s="68"/>
      <c r="E53" s="84">
        <f>SUM(E42:E52)</f>
        <v>0</v>
      </c>
      <c r="J53" s="77"/>
      <c r="K53" s="77"/>
      <c r="L53" s="77"/>
    </row>
    <row r="54" spans="1:12" ht="12.75">
      <c r="A54" s="136" t="str">
        <f>A40</f>
        <v>M2 grondwaterkwaliteit</v>
      </c>
      <c r="B54" s="74">
        <f>Huidig!I54-'IV'!E53</f>
        <v>0</v>
      </c>
      <c r="C54" s="68"/>
      <c r="D54" s="68"/>
      <c r="E54" s="68"/>
      <c r="J54" s="77"/>
      <c r="K54" s="77"/>
      <c r="L54" s="77"/>
    </row>
    <row r="55" spans="10:12" ht="12.75">
      <c r="J55" s="77"/>
      <c r="K55" s="77"/>
      <c r="L55" s="77"/>
    </row>
    <row r="56" ht="12.75">
      <c r="A56" s="20"/>
    </row>
    <row r="57" ht="12.75">
      <c r="A57" s="55" t="str">
        <f>A1</f>
        <v>Variant IV</v>
      </c>
    </row>
    <row r="58" ht="12.75">
      <c r="A58" s="55" t="str">
        <f>A8</f>
        <v>M3 verlies grond</v>
      </c>
    </row>
    <row r="59" spans="1:3" ht="12.75">
      <c r="A59" s="165" t="s">
        <v>44</v>
      </c>
      <c r="B59" s="38"/>
      <c r="C59" s="54"/>
    </row>
    <row r="60" spans="1:3" ht="12.75">
      <c r="A60" s="165" t="s">
        <v>45</v>
      </c>
      <c r="B60" s="38"/>
      <c r="C60" s="54"/>
    </row>
    <row r="61" spans="1:3" ht="12.75">
      <c r="A61" s="165"/>
      <c r="B61" s="68"/>
      <c r="C61" s="54"/>
    </row>
    <row r="62" spans="1:2" ht="12.75">
      <c r="A62" s="174" t="str">
        <f>A58</f>
        <v>M3 verlies grond</v>
      </c>
      <c r="B62" s="74">
        <f>B59-B60</f>
        <v>0</v>
      </c>
    </row>
    <row r="63" ht="12.75"/>
    <row r="64" ht="12.75">
      <c r="A64" s="20"/>
    </row>
    <row r="65" ht="12.75">
      <c r="A65" s="55" t="str">
        <f>A1</f>
        <v>Variant IV</v>
      </c>
    </row>
    <row r="66" ht="12.75">
      <c r="A66" s="55" t="str">
        <f>A9</f>
        <v>M4 verlies grondwater</v>
      </c>
    </row>
    <row r="67" spans="1:3" ht="12.75">
      <c r="A67" s="165" t="s">
        <v>46</v>
      </c>
      <c r="B67" s="38"/>
      <c r="C67" s="54"/>
    </row>
    <row r="68" spans="1:3" ht="12.75">
      <c r="A68" s="165" t="s">
        <v>47</v>
      </c>
      <c r="B68" s="38"/>
      <c r="C68" s="54"/>
    </row>
    <row r="69" spans="1:3" ht="12.75">
      <c r="A69" s="165"/>
      <c r="B69" s="68"/>
      <c r="C69" s="54"/>
    </row>
    <row r="70" spans="1:2" ht="12.75">
      <c r="A70" s="136" t="str">
        <f>A66</f>
        <v>M4 verlies grondwater</v>
      </c>
      <c r="B70" s="74">
        <f>B67-B68</f>
        <v>0</v>
      </c>
    </row>
    <row r="71" ht="12.75"/>
    <row r="72" ht="12.75">
      <c r="A72" s="20"/>
    </row>
    <row r="73" ht="12.75">
      <c r="A73" s="55" t="str">
        <f>A1</f>
        <v>Variant IV</v>
      </c>
    </row>
    <row r="74" ht="12.75">
      <c r="A74" s="55" t="str">
        <f>A10</f>
        <v>M5/6 energiegebruik en emissies</v>
      </c>
    </row>
    <row r="75" spans="1:12" s="94" customFormat="1" ht="25.5">
      <c r="A75" s="172" t="s">
        <v>48</v>
      </c>
      <c r="B75" s="96" t="s">
        <v>49</v>
      </c>
      <c r="C75" s="97" t="s">
        <v>325</v>
      </c>
      <c r="D75" s="98" t="s">
        <v>275</v>
      </c>
      <c r="E75" s="99" t="s">
        <v>50</v>
      </c>
      <c r="F75" s="96" t="s">
        <v>51</v>
      </c>
      <c r="G75" s="96" t="s">
        <v>52</v>
      </c>
      <c r="H75" s="96" t="s">
        <v>53</v>
      </c>
      <c r="J75" s="95"/>
      <c r="K75" s="95"/>
      <c r="L75" s="95"/>
    </row>
    <row r="76" spans="1:8" ht="12.75">
      <c r="A76" s="135"/>
      <c r="B76" s="68" t="s">
        <v>54</v>
      </c>
      <c r="C76" s="90"/>
      <c r="D76" s="86"/>
      <c r="E76" s="88"/>
      <c r="F76" s="68"/>
      <c r="G76" s="68"/>
      <c r="H76" s="68"/>
    </row>
    <row r="77" spans="1:8" ht="12.75">
      <c r="A77" s="135" t="s">
        <v>371</v>
      </c>
      <c r="B77" s="68" t="s">
        <v>55</v>
      </c>
      <c r="C77" s="91"/>
      <c r="D77" s="239"/>
      <c r="E77" s="89">
        <v>35</v>
      </c>
      <c r="F77" s="68" t="s">
        <v>56</v>
      </c>
      <c r="G77" s="68">
        <f>C77*E77</f>
        <v>0</v>
      </c>
      <c r="H77" s="68"/>
    </row>
    <row r="78" spans="1:8" ht="12.75">
      <c r="A78" s="135" t="s">
        <v>372</v>
      </c>
      <c r="B78" s="68" t="s">
        <v>55</v>
      </c>
      <c r="C78" s="39"/>
      <c r="D78" s="239"/>
      <c r="E78" s="89">
        <v>0.7</v>
      </c>
      <c r="F78" s="68" t="s">
        <v>57</v>
      </c>
      <c r="G78" s="68">
        <f>C78*E78*C79</f>
        <v>0</v>
      </c>
      <c r="H78" s="68"/>
    </row>
    <row r="79" spans="1:8" ht="12.75">
      <c r="A79" s="173" t="s">
        <v>58</v>
      </c>
      <c r="B79" s="85" t="s">
        <v>59</v>
      </c>
      <c r="C79" s="40"/>
      <c r="D79" s="239"/>
      <c r="E79" s="240" t="s">
        <v>54</v>
      </c>
      <c r="F79" s="68"/>
      <c r="G79" s="68" t="s">
        <v>54</v>
      </c>
      <c r="H79" s="68"/>
    </row>
    <row r="80" spans="1:8" ht="12.75">
      <c r="A80" s="135" t="s">
        <v>373</v>
      </c>
      <c r="B80" s="68" t="s">
        <v>55</v>
      </c>
      <c r="C80" s="39"/>
      <c r="D80" s="239"/>
      <c r="E80" s="89">
        <v>0.7</v>
      </c>
      <c r="F80" s="68" t="s">
        <v>57</v>
      </c>
      <c r="G80" s="68">
        <f>C80*E80*C81</f>
        <v>0</v>
      </c>
      <c r="H80" s="68"/>
    </row>
    <row r="81" spans="1:8" ht="12.75">
      <c r="A81" s="173" t="s">
        <v>60</v>
      </c>
      <c r="B81" s="85" t="s">
        <v>59</v>
      </c>
      <c r="C81" s="40"/>
      <c r="D81" s="239"/>
      <c r="E81" s="240" t="s">
        <v>54</v>
      </c>
      <c r="F81" s="68"/>
      <c r="G81" s="68" t="s">
        <v>54</v>
      </c>
      <c r="H81" s="68"/>
    </row>
    <row r="82" spans="1:8" ht="12.75">
      <c r="A82" s="135" t="s">
        <v>374</v>
      </c>
      <c r="B82" s="68" t="s">
        <v>61</v>
      </c>
      <c r="C82" s="241"/>
      <c r="D82" s="87"/>
      <c r="E82" s="89">
        <v>40</v>
      </c>
      <c r="F82" s="68" t="s">
        <v>56</v>
      </c>
      <c r="G82" s="68"/>
      <c r="H82" s="68">
        <f>E82*D82</f>
        <v>0</v>
      </c>
    </row>
    <row r="83" spans="1:8" ht="12.75">
      <c r="A83" s="135" t="s">
        <v>375</v>
      </c>
      <c r="B83" s="68" t="s">
        <v>61</v>
      </c>
      <c r="C83" s="241"/>
      <c r="D83" s="87"/>
      <c r="E83" s="89">
        <v>120</v>
      </c>
      <c r="F83" s="68" t="s">
        <v>56</v>
      </c>
      <c r="G83" s="68"/>
      <c r="H83" s="68">
        <f>E83*D83</f>
        <v>0</v>
      </c>
    </row>
    <row r="84" spans="1:8" ht="12.75">
      <c r="A84" s="135" t="s">
        <v>376</v>
      </c>
      <c r="B84" s="68" t="s">
        <v>61</v>
      </c>
      <c r="C84" s="241"/>
      <c r="D84" s="87"/>
      <c r="E84" s="89">
        <v>600</v>
      </c>
      <c r="F84" s="68" t="s">
        <v>56</v>
      </c>
      <c r="G84" s="68"/>
      <c r="H84" s="68">
        <f>E84*D84</f>
        <v>0</v>
      </c>
    </row>
    <row r="85" spans="1:8" ht="12.75">
      <c r="A85" s="135" t="s">
        <v>377</v>
      </c>
      <c r="B85" s="68" t="s">
        <v>61</v>
      </c>
      <c r="C85" s="241"/>
      <c r="D85" s="87"/>
      <c r="E85" s="89"/>
      <c r="F85" s="68" t="s">
        <v>56</v>
      </c>
      <c r="G85" s="68"/>
      <c r="H85" s="68">
        <f>E85*D85</f>
        <v>0</v>
      </c>
    </row>
    <row r="86" spans="1:8" ht="12.75">
      <c r="A86" s="135" t="s">
        <v>378</v>
      </c>
      <c r="B86" s="68" t="s">
        <v>62</v>
      </c>
      <c r="C86" s="241"/>
      <c r="D86" s="39"/>
      <c r="E86" s="89">
        <v>0.05</v>
      </c>
      <c r="F86" s="68" t="s">
        <v>63</v>
      </c>
      <c r="G86" s="68"/>
      <c r="H86" s="68">
        <f>IF($D$87&gt;0,D86*$E86*$D$87,D86*$E86*2)</f>
        <v>0</v>
      </c>
    </row>
    <row r="87" spans="1:8" ht="12.75">
      <c r="A87" s="173" t="s">
        <v>64</v>
      </c>
      <c r="B87" s="68" t="s">
        <v>65</v>
      </c>
      <c r="C87" s="241"/>
      <c r="D87" s="40"/>
      <c r="E87" s="240"/>
      <c r="F87" s="68"/>
      <c r="G87" s="68"/>
      <c r="H87" s="68"/>
    </row>
    <row r="88" spans="1:8" ht="12.75">
      <c r="A88" s="135" t="s">
        <v>379</v>
      </c>
      <c r="B88" s="68" t="s">
        <v>66</v>
      </c>
      <c r="C88" s="39"/>
      <c r="D88" s="239"/>
      <c r="E88" s="89"/>
      <c r="F88" s="68" t="s">
        <v>63</v>
      </c>
      <c r="G88" s="68">
        <f>IF($C$89&gt;0,IF(E88&gt;0,C88*$E88*$C$89,C88*0.02*$C$89),IF(E88&gt;0,C88*$E88*2,C88*2*0.02))</f>
        <v>0</v>
      </c>
      <c r="H88" s="68"/>
    </row>
    <row r="89" spans="1:8" ht="12.75">
      <c r="A89" s="173" t="s">
        <v>64</v>
      </c>
      <c r="B89" s="68" t="s">
        <v>67</v>
      </c>
      <c r="C89" s="40"/>
      <c r="D89" s="239"/>
      <c r="E89" s="240" t="s">
        <v>54</v>
      </c>
      <c r="F89" s="68" t="s">
        <v>54</v>
      </c>
      <c r="G89" s="68" t="s">
        <v>54</v>
      </c>
      <c r="H89" s="68"/>
    </row>
    <row r="90" spans="1:8" ht="12.75">
      <c r="A90" s="135" t="s">
        <v>380</v>
      </c>
      <c r="B90" s="68" t="s">
        <v>62</v>
      </c>
      <c r="C90" s="241"/>
      <c r="D90" s="87"/>
      <c r="E90" s="89">
        <v>0.4</v>
      </c>
      <c r="F90" s="68" t="s">
        <v>68</v>
      </c>
      <c r="G90" s="68"/>
      <c r="H90" s="68">
        <f>E90*D90</f>
        <v>0</v>
      </c>
    </row>
    <row r="91" spans="1:8" ht="12.75">
      <c r="A91" s="135" t="s">
        <v>381</v>
      </c>
      <c r="B91" s="68" t="s">
        <v>62</v>
      </c>
      <c r="C91" s="241"/>
      <c r="D91" s="87"/>
      <c r="E91" s="89">
        <v>1.2</v>
      </c>
      <c r="F91" s="68" t="s">
        <v>68</v>
      </c>
      <c r="G91" s="68"/>
      <c r="H91" s="68">
        <f>E91*D91</f>
        <v>0</v>
      </c>
    </row>
    <row r="92" spans="1:8" ht="12.75">
      <c r="A92" s="135" t="s">
        <v>326</v>
      </c>
      <c r="B92" s="162" t="s">
        <v>327</v>
      </c>
      <c r="C92" s="163"/>
      <c r="D92" s="239"/>
      <c r="E92" s="89">
        <f>1000*0.03165</f>
        <v>31.65</v>
      </c>
      <c r="F92" s="68" t="s">
        <v>68</v>
      </c>
      <c r="G92" s="68"/>
      <c r="H92" s="69">
        <f>C92*E92</f>
        <v>0</v>
      </c>
    </row>
    <row r="93" spans="1:8" ht="12.75">
      <c r="A93" s="165" t="s">
        <v>69</v>
      </c>
      <c r="B93" s="68" t="s">
        <v>56</v>
      </c>
      <c r="C93" s="91"/>
      <c r="D93" s="239"/>
      <c r="E93" s="89">
        <v>35</v>
      </c>
      <c r="F93" s="68" t="s">
        <v>56</v>
      </c>
      <c r="G93" s="68">
        <f>E93*C93</f>
        <v>0</v>
      </c>
      <c r="H93" s="68"/>
    </row>
    <row r="94" spans="1:8" ht="12.75">
      <c r="A94" s="165" t="s">
        <v>70</v>
      </c>
      <c r="B94" s="85" t="s">
        <v>71</v>
      </c>
      <c r="C94" s="241"/>
      <c r="D94" s="87"/>
      <c r="E94" s="240"/>
      <c r="F94" s="68" t="s">
        <v>54</v>
      </c>
      <c r="G94" s="68"/>
      <c r="H94" s="68">
        <f>D94</f>
        <v>0</v>
      </c>
    </row>
    <row r="95" spans="1:8" ht="12.75">
      <c r="A95" s="136" t="s">
        <v>72</v>
      </c>
      <c r="B95" s="67"/>
      <c r="C95" s="68"/>
      <c r="D95" s="68"/>
      <c r="E95" s="68"/>
      <c r="F95" s="68" t="s">
        <v>54</v>
      </c>
      <c r="G95" s="68">
        <f>SUM(G77:G94)</f>
        <v>0</v>
      </c>
      <c r="H95" s="68">
        <f>SUM(H77:H94)</f>
        <v>0</v>
      </c>
    </row>
    <row r="96" spans="1:8" ht="12.75">
      <c r="A96" s="135"/>
      <c r="B96" s="68"/>
      <c r="C96" s="68"/>
      <c r="D96" s="68"/>
      <c r="E96" s="68"/>
      <c r="F96" s="68"/>
      <c r="G96" s="68"/>
      <c r="H96" s="68"/>
    </row>
    <row r="97" spans="1:8" ht="12.75">
      <c r="A97" s="165"/>
      <c r="B97" s="67"/>
      <c r="C97" s="68"/>
      <c r="D97" s="68"/>
      <c r="E97" s="68"/>
      <c r="F97" s="68"/>
      <c r="G97" s="68"/>
      <c r="H97" s="68"/>
    </row>
    <row r="98" spans="1:8" ht="12.75">
      <c r="A98" s="136" t="s">
        <v>318</v>
      </c>
      <c r="B98" s="74">
        <f>0.001*(G95+H95)/200</f>
        <v>0</v>
      </c>
      <c r="C98" s="68" t="s">
        <v>74</v>
      </c>
      <c r="D98" s="68"/>
      <c r="E98" s="69"/>
      <c r="F98" s="68"/>
      <c r="G98" s="68"/>
      <c r="H98" s="68"/>
    </row>
    <row r="99" spans="1:8" ht="12.75">
      <c r="A99" s="73" t="s">
        <v>319</v>
      </c>
      <c r="B99" s="74">
        <f>0.001*(0.0219*H95+0.0074*G95)</f>
        <v>0</v>
      </c>
      <c r="C99" s="68" t="s">
        <v>74</v>
      </c>
      <c r="D99" s="68"/>
      <c r="E99" s="68"/>
      <c r="F99" s="68"/>
      <c r="G99" s="68"/>
      <c r="H99" s="68"/>
    </row>
    <row r="100" ht="12.75"/>
    <row r="101" ht="12.75">
      <c r="A101" s="20"/>
    </row>
    <row r="102" ht="12.75">
      <c r="A102" s="55" t="str">
        <f>A1</f>
        <v>Variant IV</v>
      </c>
    </row>
    <row r="103" ht="12.75">
      <c r="A103" s="55" t="str">
        <f>A11</f>
        <v>M7 opp. wateremissies</v>
      </c>
    </row>
    <row r="104" spans="1:12" s="19" customFormat="1" ht="51">
      <c r="A104" s="170" t="str">
        <f>A41</f>
        <v>Verontreinigende stof</v>
      </c>
      <c r="B104" s="132" t="s">
        <v>394</v>
      </c>
      <c r="C104" s="132" t="s">
        <v>39</v>
      </c>
      <c r="D104" s="132" t="s">
        <v>24</v>
      </c>
      <c r="E104" s="132" t="s">
        <v>361</v>
      </c>
      <c r="J104" s="78"/>
      <c r="K104" s="78"/>
      <c r="L104" s="78"/>
    </row>
    <row r="105" spans="1:10" ht="12.75">
      <c r="A105" s="171"/>
      <c r="B105" s="205">
        <f>IF(INDEX(Normen!$A$12:$I$128,J105,9)&lt;&gt;"NB",0.5*(INDEX(Normen!$A$12:$I$128,J105,8)+INDEX(Normen!$A$12:$I$128,J105,9)),"NB")</f>
        <v>0</v>
      </c>
      <c r="C105" s="38"/>
      <c r="D105" s="38"/>
      <c r="E105" s="68">
        <f>IF(AND(B105&lt;&gt;"NB",B105&gt;0,C105&gt;INDEX(Normen!$A$12:$I$128,J105,8)),(C105)*D105/B105,0)</f>
        <v>0</v>
      </c>
      <c r="J105" s="242">
        <v>1</v>
      </c>
    </row>
    <row r="106" spans="1:10" ht="12.75">
      <c r="A106" s="171"/>
      <c r="B106" s="205">
        <f>IF(INDEX(Normen!$A$12:$I$128,J106,9)&lt;&gt;"NB",0.5*(INDEX(Normen!$A$12:$I$128,J106,8)+INDEX(Normen!$A$12:$I$128,J106,9)),"NB")</f>
        <v>0</v>
      </c>
      <c r="C106" s="38"/>
      <c r="D106" s="38"/>
      <c r="E106" s="68">
        <f>IF(AND(B106&lt;&gt;"NB",B106&gt;0,C106&gt;INDEX(Normen!$A$12:$I$128,J106,8)),(C106)*D106/B106,0)</f>
        <v>0</v>
      </c>
      <c r="J106" s="242">
        <v>1</v>
      </c>
    </row>
    <row r="107" spans="1:10" ht="12.75">
      <c r="A107" s="171"/>
      <c r="B107" s="205">
        <f>IF(INDEX(Normen!$A$12:$I$128,J107,9)&lt;&gt;"NB",0.5*(INDEX(Normen!$A$12:$I$128,J107,8)+INDEX(Normen!$A$12:$I$128,J107,9)),"NB")</f>
        <v>0</v>
      </c>
      <c r="C107" s="38"/>
      <c r="D107" s="38"/>
      <c r="E107" s="68">
        <f>IF(AND(B107&lt;&gt;"NB",B107&gt;0,C107&gt;INDEX(Normen!$A$12:$I$128,J107,8)),(C107)*D107/B107,0)</f>
        <v>0</v>
      </c>
      <c r="J107" s="242">
        <v>1</v>
      </c>
    </row>
    <row r="108" spans="1:10" ht="12.75">
      <c r="A108" s="171"/>
      <c r="B108" s="205">
        <f>IF(INDEX(Normen!$A$12:$I$128,J108,9)&lt;&gt;"NB",0.5*(INDEX(Normen!$A$12:$I$128,J108,8)+INDEX(Normen!$A$12:$I$128,J108,9)),"NB")</f>
        <v>0</v>
      </c>
      <c r="C108" s="38"/>
      <c r="D108" s="38"/>
      <c r="E108" s="68">
        <f>IF(AND(B108&lt;&gt;"NB",B108&gt;0,C108&gt;INDEX(Normen!$A$12:$I$128,J108,8)),(C108)*D108/B108,0)</f>
        <v>0</v>
      </c>
      <c r="J108" s="242">
        <v>1</v>
      </c>
    </row>
    <row r="109" spans="1:10" ht="12.75">
      <c r="A109" s="171"/>
      <c r="B109" s="205">
        <f>IF(INDEX(Normen!$A$12:$I$128,J109,9)&lt;&gt;"NB",0.5*(INDEX(Normen!$A$12:$I$128,J109,8)+INDEX(Normen!$A$12:$I$128,J109,9)),"NB")</f>
        <v>0</v>
      </c>
      <c r="C109" s="38"/>
      <c r="D109" s="38"/>
      <c r="E109" s="68">
        <f>IF(AND(B109&lt;&gt;"NB",B109&gt;0,C109&gt;INDEX(Normen!$A$12:$I$128,J109,8)),(C109)*D109/B109,0)</f>
        <v>0</v>
      </c>
      <c r="J109" s="242">
        <v>1</v>
      </c>
    </row>
    <row r="110" spans="1:10" ht="12.75">
      <c r="A110" s="171"/>
      <c r="B110" s="205">
        <f>IF(INDEX(Normen!$A$12:$I$128,J110,9)&lt;&gt;"NB",0.5*(INDEX(Normen!$A$12:$I$128,J110,8)+INDEX(Normen!$A$12:$I$128,J110,9)),"NB")</f>
        <v>0</v>
      </c>
      <c r="C110" s="38"/>
      <c r="D110" s="38"/>
      <c r="E110" s="68">
        <f>IF(AND(B110&lt;&gt;"NB",B110&gt;0,C110&gt;INDEX(Normen!$A$12:$I$128,J110,8)),(C110)*D110/B110,0)</f>
        <v>0</v>
      </c>
      <c r="J110" s="242">
        <v>1</v>
      </c>
    </row>
    <row r="111" spans="1:10" ht="12.75">
      <c r="A111" s="171"/>
      <c r="B111" s="205">
        <f>IF(INDEX(Normen!$A$12:$I$128,J111,9)&lt;&gt;"NB",0.5*(INDEX(Normen!$A$12:$I$128,J111,8)+INDEX(Normen!$A$12:$I$128,J111,9)),"NB")</f>
        <v>0</v>
      </c>
      <c r="C111" s="38"/>
      <c r="D111" s="38"/>
      <c r="E111" s="68">
        <f>IF(AND(B111&lt;&gt;"NB",B111&gt;0,C111&gt;INDEX(Normen!$A$12:$I$128,J111,8)),(C111)*D111/B111,0)</f>
        <v>0</v>
      </c>
      <c r="J111" s="242">
        <v>1</v>
      </c>
    </row>
    <row r="112" spans="1:5" ht="12.75">
      <c r="A112" s="171"/>
      <c r="B112" s="205"/>
      <c r="C112" s="38"/>
      <c r="D112" s="38"/>
      <c r="E112" s="68">
        <f>IF(AND(B112&lt;&gt;"NB",B112&gt;0,C112&gt;INDEX(Normen!$A$12:$I$128,J112,8)),(C112)*D112/B112,0)</f>
        <v>0</v>
      </c>
    </row>
    <row r="113" spans="1:5" ht="12.75">
      <c r="A113" s="171"/>
      <c r="B113" s="205"/>
      <c r="C113" s="38"/>
      <c r="D113" s="38"/>
      <c r="E113" s="68">
        <f>IF(AND(B113&lt;&gt;"NB",B113&gt;0,C113&gt;INDEX(Normen!$A$12:$I$128,J113,8)),(C113)*D113/B113,0)</f>
        <v>0</v>
      </c>
    </row>
    <row r="114" spans="1:5" ht="12.75">
      <c r="A114" s="171"/>
      <c r="B114" s="205"/>
      <c r="C114" s="38"/>
      <c r="D114" s="38"/>
      <c r="E114" s="68">
        <f>IF(AND(B114&lt;&gt;"NB",B114&gt;0,C114&gt;INDEX(Normen!$A$12:$I$128,J114,8)),(C114)*D114/B114,0)</f>
        <v>0</v>
      </c>
    </row>
    <row r="115" spans="1:5" ht="12.75">
      <c r="A115" s="171"/>
      <c r="B115" s="205"/>
      <c r="C115" s="38"/>
      <c r="D115" s="38"/>
      <c r="E115" s="68">
        <f>IF(AND(B115&lt;&gt;"NB",B115&gt;0,C115&gt;INDEX(Normen!$A$12:$I$128,J115,8)),(C115)*D115/B115,0)</f>
        <v>0</v>
      </c>
    </row>
    <row r="116" spans="1:5" ht="12.75">
      <c r="A116" s="165"/>
      <c r="B116" s="68"/>
      <c r="C116" s="68"/>
      <c r="D116" s="68"/>
      <c r="E116" s="68"/>
    </row>
    <row r="117" spans="1:5" ht="12.75">
      <c r="A117" s="136" t="str">
        <f>A103</f>
        <v>M7 opp. wateremissies</v>
      </c>
      <c r="B117" s="74">
        <f>SUM(E105:E114)</f>
        <v>0</v>
      </c>
      <c r="C117" s="68"/>
      <c r="D117" s="68"/>
      <c r="E117" s="68"/>
    </row>
    <row r="118" ht="12.75"/>
    <row r="119" ht="12.75">
      <c r="A119" s="20"/>
    </row>
    <row r="120" ht="12.75">
      <c r="A120" s="55" t="str">
        <f>A1</f>
        <v>Variant IV</v>
      </c>
    </row>
    <row r="121" ht="12.75">
      <c r="A121" s="55" t="str">
        <f>A12</f>
        <v>M8 afvalvorming</v>
      </c>
    </row>
    <row r="122" spans="1:2" ht="12.75">
      <c r="A122" s="165" t="s">
        <v>75</v>
      </c>
      <c r="B122" s="38"/>
    </row>
    <row r="123" spans="1:2" ht="12.75">
      <c r="A123" s="165" t="s">
        <v>76</v>
      </c>
      <c r="B123" s="38"/>
    </row>
    <row r="124" spans="1:2" ht="12.75">
      <c r="A124" s="165" t="s">
        <v>77</v>
      </c>
      <c r="B124" s="38"/>
    </row>
    <row r="125" spans="1:2" ht="12.75">
      <c r="A125" s="165"/>
      <c r="B125" s="71"/>
    </row>
    <row r="126" spans="1:2" ht="12.75">
      <c r="A126" s="165"/>
      <c r="B126" s="71"/>
    </row>
    <row r="127" spans="1:2" ht="12.75">
      <c r="A127" s="136" t="str">
        <f>A121</f>
        <v>M8 afvalvorming</v>
      </c>
      <c r="B127" s="74">
        <f>SUM(B122:B124)</f>
        <v>0</v>
      </c>
    </row>
    <row r="128" ht="12.75"/>
    <row r="129" ht="12.75">
      <c r="A129" s="20"/>
    </row>
    <row r="130" ht="12.75">
      <c r="A130" s="55" t="str">
        <f>A1</f>
        <v>Variant IV</v>
      </c>
    </row>
    <row r="131" ht="12.75">
      <c r="A131" s="55" t="str">
        <f>A13</f>
        <v>M9 ruimtebeslag</v>
      </c>
    </row>
    <row r="132" spans="1:6" ht="12.75">
      <c r="A132" s="169"/>
      <c r="B132" s="168" t="s">
        <v>78</v>
      </c>
      <c r="C132" s="168" t="s">
        <v>79</v>
      </c>
      <c r="D132" s="168" t="s">
        <v>80</v>
      </c>
      <c r="E132" s="168" t="s">
        <v>81</v>
      </c>
      <c r="F132" s="168" t="s">
        <v>82</v>
      </c>
    </row>
    <row r="133" spans="1:6" ht="12.75">
      <c r="A133" s="165" t="s">
        <v>83</v>
      </c>
      <c r="B133" s="38"/>
      <c r="C133" s="38"/>
      <c r="D133" s="38"/>
      <c r="E133" s="38"/>
      <c r="F133" s="38"/>
    </row>
    <row r="134" spans="1:6" ht="12.75">
      <c r="A134" s="165" t="s">
        <v>84</v>
      </c>
      <c r="B134" s="38"/>
      <c r="C134" s="38"/>
      <c r="D134" s="38"/>
      <c r="E134" s="38"/>
      <c r="F134" s="38"/>
    </row>
    <row r="135" spans="1:6" ht="12.75">
      <c r="A135" s="136" t="s">
        <v>85</v>
      </c>
      <c r="B135" s="68">
        <f>B133*B134</f>
        <v>0</v>
      </c>
      <c r="C135" s="68">
        <f>C133*C134</f>
        <v>0</v>
      </c>
      <c r="D135" s="68">
        <f>D133*D134</f>
        <v>0</v>
      </c>
      <c r="E135" s="68">
        <f>E133*E134</f>
        <v>0</v>
      </c>
      <c r="F135" s="68">
        <f>F133*F134</f>
        <v>0</v>
      </c>
    </row>
    <row r="136" spans="1:6" ht="12.75">
      <c r="A136" s="165"/>
      <c r="B136" s="74" t="str">
        <f>IF(B134&gt;30,"Maximaal 30 invullen!!"," ")</f>
        <v> </v>
      </c>
      <c r="C136" s="74" t="str">
        <f>IF(C134&gt;30,"Maximaal 30 invullen!!"," ")</f>
        <v> </v>
      </c>
      <c r="D136" s="74" t="str">
        <f>IF(D134&gt;30,"Maximaal 30 invullen!!"," ")</f>
        <v> </v>
      </c>
      <c r="E136" s="74" t="str">
        <f>IF(E134&gt;30,"Maximaal 30 invullen!!"," ")</f>
        <v> </v>
      </c>
      <c r="F136" s="74" t="str">
        <f>IF(F134&gt;30,"Maximaal 30 invullen!!"," ")</f>
        <v> </v>
      </c>
    </row>
    <row r="137" spans="1:6" ht="12.75">
      <c r="A137" s="136" t="str">
        <f>A131</f>
        <v>M9 ruimtebeslag</v>
      </c>
      <c r="B137" s="74">
        <f>SUM(B135:F135)</f>
        <v>0</v>
      </c>
      <c r="C137" s="68"/>
      <c r="D137" s="68"/>
      <c r="E137" s="68"/>
      <c r="F137" s="68"/>
    </row>
    <row r="138" ht="12.75"/>
    <row r="139" ht="12.75"/>
    <row r="140" ht="12.75">
      <c r="A140" s="55" t="str">
        <f>A1</f>
        <v>Variant IV</v>
      </c>
    </row>
    <row r="141" spans="1:14" s="19" customFormat="1" ht="12.75">
      <c r="A141" s="164" t="str">
        <f>A16</f>
        <v>Effectenoverzicht</v>
      </c>
      <c r="B141" s="132" t="s">
        <v>51</v>
      </c>
      <c r="C141" s="132" t="s">
        <v>86</v>
      </c>
      <c r="J141" s="78"/>
      <c r="K141" s="78"/>
      <c r="L141" s="78"/>
      <c r="M141" s="79"/>
      <c r="N141" s="80"/>
    </row>
    <row r="142" spans="1:14" ht="12.75">
      <c r="A142" s="165" t="str">
        <f>A36</f>
        <v>M1 grondkwaliteit</v>
      </c>
      <c r="B142" s="68" t="s">
        <v>360</v>
      </c>
      <c r="C142" s="92">
        <f>B36/1000</f>
        <v>0</v>
      </c>
      <c r="D142" s="51"/>
      <c r="F142" s="81"/>
      <c r="M142" s="82"/>
      <c r="N142" s="83"/>
    </row>
    <row r="143" spans="1:14" ht="12.75">
      <c r="A143" s="165" t="str">
        <f>A54</f>
        <v>M2 grondwaterkwaliteit</v>
      </c>
      <c r="B143" s="68" t="s">
        <v>360</v>
      </c>
      <c r="C143" s="92">
        <f>B54/1000</f>
        <v>0</v>
      </c>
      <c r="D143" s="51"/>
      <c r="F143" s="81"/>
      <c r="M143" s="82"/>
      <c r="N143" s="83"/>
    </row>
    <row r="144" spans="1:14" ht="14.25">
      <c r="A144" s="165" t="str">
        <f>A62</f>
        <v>M3 verlies grond</v>
      </c>
      <c r="B144" s="68" t="s">
        <v>87</v>
      </c>
      <c r="C144" s="92">
        <f>(-B62)</f>
        <v>0</v>
      </c>
      <c r="E144" s="51"/>
      <c r="F144" s="81"/>
      <c r="M144" s="82"/>
      <c r="N144" s="83"/>
    </row>
    <row r="145" spans="1:14" ht="14.25">
      <c r="A145" s="165" t="str">
        <f>A70</f>
        <v>M4 verlies grondwater</v>
      </c>
      <c r="B145" s="68" t="s">
        <v>88</v>
      </c>
      <c r="C145" s="92">
        <f>-B70/1000</f>
        <v>0</v>
      </c>
      <c r="E145" s="51"/>
      <c r="F145" s="81"/>
      <c r="M145" s="82"/>
      <c r="N145" s="83"/>
    </row>
    <row r="146" spans="1:14" ht="12.75">
      <c r="A146" s="165" t="str">
        <f>A98</f>
        <v>M5 energiegebruik</v>
      </c>
      <c r="B146" s="68" t="str">
        <f>C98</f>
        <v>inw.eq</v>
      </c>
      <c r="C146" s="69">
        <f>-B98</f>
        <v>0</v>
      </c>
      <c r="E146" s="51"/>
      <c r="F146" s="81"/>
      <c r="M146" s="82"/>
      <c r="N146" s="83"/>
    </row>
    <row r="147" spans="1:14" ht="12.75">
      <c r="A147" s="165" t="str">
        <f>A99</f>
        <v>M6 luchtemissies</v>
      </c>
      <c r="B147" s="68" t="s">
        <v>74</v>
      </c>
      <c r="C147" s="69">
        <f>-B99</f>
        <v>0</v>
      </c>
      <c r="E147" s="51"/>
      <c r="F147" s="81"/>
      <c r="M147" s="82"/>
      <c r="N147" s="83"/>
    </row>
    <row r="148" spans="1:14" ht="12.75">
      <c r="A148" s="165" t="str">
        <f>A117</f>
        <v>M7 opp. wateremissies</v>
      </c>
      <c r="B148" s="68" t="s">
        <v>360</v>
      </c>
      <c r="C148" s="69">
        <f>-B117/1000</f>
        <v>0</v>
      </c>
      <c r="E148" s="51"/>
      <c r="F148" s="81"/>
      <c r="M148" s="82"/>
      <c r="N148" s="83"/>
    </row>
    <row r="149" spans="1:14" ht="14.25">
      <c r="A149" s="165" t="str">
        <f>A127</f>
        <v>M8 afvalvorming</v>
      </c>
      <c r="B149" s="68" t="s">
        <v>87</v>
      </c>
      <c r="C149" s="69">
        <f>-B127</f>
        <v>0</v>
      </c>
      <c r="E149" s="51"/>
      <c r="F149" s="81"/>
      <c r="M149" s="82"/>
      <c r="N149" s="83"/>
    </row>
    <row r="150" spans="1:14" ht="14.25">
      <c r="A150" s="165" t="str">
        <f>A137</f>
        <v>M9 ruimtebeslag</v>
      </c>
      <c r="B150" s="68" t="s">
        <v>89</v>
      </c>
      <c r="C150" s="69">
        <f>-B137</f>
        <v>0</v>
      </c>
      <c r="E150" s="51"/>
      <c r="F150" s="81"/>
      <c r="M150" s="82"/>
      <c r="N150" s="83"/>
    </row>
    <row r="151" ht="12.75">
      <c r="A151" s="58"/>
    </row>
    <row r="154" ht="12.75"/>
    <row r="155" ht="12.75"/>
    <row r="156" ht="12.75"/>
  </sheetData>
  <sheetProtection sheet="1" scenarios="1"/>
  <printOptions/>
  <pageMargins left="0.5905511811023623" right="0.5905511811023623" top="0.984251968503937" bottom="0.984251968503937" header="0.5118110236220472" footer="0.5118110236220472"/>
  <pageSetup fitToHeight="3" fitToWidth="1" horizontalDpi="300" verticalDpi="300" orientation="portrait" paperSize="9" scale="94" r:id="rId3"/>
  <headerFooter alignWithMargins="0">
    <oddHeader>&amp;C&amp;F</oddHeader>
    <oddFooter>&amp;CMilieuverdienste in RMK</oddFooter>
  </headerFooter>
  <legacyDrawing r:id="rId2"/>
</worksheet>
</file>

<file path=xl/worksheets/sheet8.xml><?xml version="1.0" encoding="utf-8"?>
<worksheet xmlns="http://schemas.openxmlformats.org/spreadsheetml/2006/main" xmlns:r="http://schemas.openxmlformats.org/officeDocument/2006/relationships">
  <sheetPr codeName="Sheet15">
    <pageSetUpPr fitToPage="1"/>
  </sheetPr>
  <dimension ref="A1:N151"/>
  <sheetViews>
    <sheetView showGridLines="0" zoomScale="90" zoomScaleNormal="90" workbookViewId="0" topLeftCell="A1">
      <selection activeCell="A2" sqref="A2"/>
    </sheetView>
  </sheetViews>
  <sheetFormatPr defaultColWidth="9.140625" defaultRowHeight="12.75"/>
  <cols>
    <col min="1" max="1" width="27.7109375" style="56" customWidth="1"/>
    <col min="2" max="2" width="10.28125" style="20" customWidth="1"/>
    <col min="3" max="3" width="9.421875" style="20" customWidth="1"/>
    <col min="4" max="4" width="11.7109375" style="20" customWidth="1"/>
    <col min="5" max="5" width="8.00390625" style="20" customWidth="1"/>
    <col min="6" max="6" width="9.421875" style="20" customWidth="1"/>
    <col min="7" max="7" width="10.140625" style="20" customWidth="1"/>
    <col min="8" max="8" width="10.8515625" style="20" customWidth="1"/>
    <col min="9" max="9" width="0" style="20" hidden="1" customWidth="1"/>
    <col min="10" max="10" width="6.28125" style="52" hidden="1" customWidth="1"/>
    <col min="11" max="12" width="5.140625" style="52" hidden="1" customWidth="1"/>
    <col min="13" max="15" width="8.8515625" style="20" customWidth="1"/>
    <col min="16" max="16" width="13.421875" style="20" customWidth="1"/>
    <col min="17" max="17" width="10.57421875" style="20" customWidth="1"/>
    <col min="18" max="16384" width="8.8515625" style="20" customWidth="1"/>
  </cols>
  <sheetData>
    <row r="1" spans="1:2" ht="18">
      <c r="A1" s="75" t="str">
        <f>Inhoud!E15</f>
        <v>Variant V</v>
      </c>
      <c r="B1" s="100" t="s">
        <v>41</v>
      </c>
    </row>
    <row r="2" ht="12.75"/>
    <row r="3" ht="12.75">
      <c r="A3" s="62" t="str">
        <f>Huidig!A3</f>
        <v>Terug naar inhoud:</v>
      </c>
    </row>
    <row r="4" ht="12.75">
      <c r="A4" s="55" t="s">
        <v>42</v>
      </c>
    </row>
    <row r="5" ht="12.75">
      <c r="A5" s="55" t="s">
        <v>20</v>
      </c>
    </row>
    <row r="6" ht="12.75">
      <c r="A6" s="56" t="s">
        <v>320</v>
      </c>
    </row>
    <row r="7" ht="12.75">
      <c r="A7" s="56" t="s">
        <v>321</v>
      </c>
    </row>
    <row r="8" ht="12.75">
      <c r="A8" s="56" t="s">
        <v>322</v>
      </c>
    </row>
    <row r="9" ht="12.75">
      <c r="A9" s="56" t="s">
        <v>323</v>
      </c>
    </row>
    <row r="10" ht="12.75">
      <c r="A10" s="56" t="s">
        <v>382</v>
      </c>
    </row>
    <row r="11" ht="12.75">
      <c r="A11" s="56" t="s">
        <v>316</v>
      </c>
    </row>
    <row r="12" ht="12.75">
      <c r="A12" s="56" t="s">
        <v>406</v>
      </c>
    </row>
    <row r="13" ht="12.75">
      <c r="A13" s="56" t="s">
        <v>317</v>
      </c>
    </row>
    <row r="14" ht="12.75"/>
    <row r="15" ht="12.75">
      <c r="A15" s="55" t="s">
        <v>296</v>
      </c>
    </row>
    <row r="16" ht="12.75">
      <c r="A16" s="56" t="s">
        <v>277</v>
      </c>
    </row>
    <row r="17" ht="12.75"/>
    <row r="18" ht="12.75"/>
    <row r="19" spans="1:12" s="176" customFormat="1" ht="12.75">
      <c r="A19" s="175"/>
      <c r="J19" s="177"/>
      <c r="K19" s="177"/>
      <c r="L19" s="177"/>
    </row>
    <row r="20" spans="1:12" s="76" customFormat="1" ht="12.75">
      <c r="A20" s="166"/>
      <c r="J20" s="167"/>
      <c r="K20" s="167"/>
      <c r="L20" s="167"/>
    </row>
    <row r="21" ht="12.75">
      <c r="A21" s="55" t="str">
        <f>A1</f>
        <v>Variant V</v>
      </c>
    </row>
    <row r="22" ht="12.75">
      <c r="A22" s="55" t="str">
        <f>A6</f>
        <v>M1 grondkwaliteit</v>
      </c>
    </row>
    <row r="23" spans="1:12" s="19" customFormat="1" ht="24" customHeight="1">
      <c r="A23" s="170" t="str">
        <f>Huidig!A24</f>
        <v>Verontreinigende stof</v>
      </c>
      <c r="B23" s="132" t="str">
        <f>Huidig!B24</f>
        <v>s' [mg/kg]</v>
      </c>
      <c r="C23" s="132" t="str">
        <f>Huidig!C24</f>
        <v>i' [mg/kg]</v>
      </c>
      <c r="D23" s="132" t="s">
        <v>418</v>
      </c>
      <c r="E23" s="132" t="str">
        <f>Huidig!G24</f>
        <v>lut. [%]</v>
      </c>
      <c r="F23" s="132" t="s">
        <v>43</v>
      </c>
      <c r="G23" s="132" t="str">
        <f>Huidig!I24</f>
        <v>Grond- kubels [m3]</v>
      </c>
      <c r="H23" s="132" t="s">
        <v>329</v>
      </c>
      <c r="J23" s="131" t="str">
        <f>Huidig!L24</f>
        <v>s</v>
      </c>
      <c r="K23" s="131" t="str">
        <f>Huidig!M24</f>
        <v>i</v>
      </c>
      <c r="L23" s="131" t="str">
        <f>Huidig!N24</f>
        <v>t'</v>
      </c>
    </row>
    <row r="24" spans="1:12" ht="12.75">
      <c r="A24" s="165">
        <f>IF(Huidig!$O25&gt;1,INDEX(Normen!$A$12:$C$128,Huidig!$O25,1),"")</f>
      </c>
      <c r="B24" s="69">
        <f aca="true" t="shared" si="0" ref="B24:B34">J24</f>
        <v>0</v>
      </c>
      <c r="C24" s="69">
        <f aca="true" t="shared" si="1" ref="C24:C34">K24</f>
        <v>0</v>
      </c>
      <c r="D24" s="38">
        <f>30*Huidig!D25</f>
        <v>0</v>
      </c>
      <c r="E24" s="68">
        <f>Huidig!G25</f>
        <v>25</v>
      </c>
      <c r="F24" s="68">
        <f>Huidig!S25</f>
        <v>10</v>
      </c>
      <c r="G24" s="71">
        <f>IF(D24&gt;0,1000000*D24/(30*L24),0)</f>
        <v>0</v>
      </c>
      <c r="H24" s="71">
        <f>Huidig!J25-0.0000017*D24/30</f>
        <v>0</v>
      </c>
      <c r="J24" s="77">
        <f>Huidig!B25</f>
        <v>0</v>
      </c>
      <c r="K24" s="77">
        <f>Huidig!C25</f>
        <v>0</v>
      </c>
      <c r="L24" s="77">
        <f>Huidig!N25</f>
        <v>0</v>
      </c>
    </row>
    <row r="25" spans="1:12" ht="12.75">
      <c r="A25" s="165">
        <f>IF(Huidig!$O26&gt;1,INDEX(Normen!$A$12:$C$128,Huidig!$O26,1),"")</f>
      </c>
      <c r="B25" s="69">
        <f t="shared" si="0"/>
        <v>0</v>
      </c>
      <c r="C25" s="69">
        <f t="shared" si="1"/>
        <v>0</v>
      </c>
      <c r="D25" s="38">
        <f>30*Huidig!D26</f>
        <v>0</v>
      </c>
      <c r="E25" s="68">
        <f>Huidig!G26</f>
        <v>25</v>
      </c>
      <c r="F25" s="68">
        <f>Huidig!S26</f>
        <v>10</v>
      </c>
      <c r="G25" s="71">
        <f aca="true" t="shared" si="2" ref="G25:G34">IF(D25&gt;0,1000000*D25/(30*L25),0)</f>
        <v>0</v>
      </c>
      <c r="H25" s="71">
        <f>Huidig!J26-0.0000017*D25/30</f>
        <v>0</v>
      </c>
      <c r="J25" s="77">
        <f>Huidig!B26</f>
        <v>0</v>
      </c>
      <c r="K25" s="77">
        <f>Huidig!C26</f>
        <v>0</v>
      </c>
      <c r="L25" s="77">
        <f>Huidig!N26</f>
        <v>0</v>
      </c>
    </row>
    <row r="26" spans="1:12" ht="12.75">
      <c r="A26" s="165">
        <f>IF(Huidig!$O27&gt;1,INDEX(Normen!$A$12:$C$128,Huidig!$O27,1),"")</f>
      </c>
      <c r="B26" s="69">
        <f t="shared" si="0"/>
        <v>0</v>
      </c>
      <c r="C26" s="69">
        <f t="shared" si="1"/>
        <v>0</v>
      </c>
      <c r="D26" s="38">
        <f>30*Huidig!D27</f>
        <v>0</v>
      </c>
      <c r="E26" s="68">
        <f>Huidig!G27</f>
        <v>25</v>
      </c>
      <c r="F26" s="68">
        <f>Huidig!S27</f>
        <v>10</v>
      </c>
      <c r="G26" s="71">
        <f t="shared" si="2"/>
        <v>0</v>
      </c>
      <c r="H26" s="71">
        <f>Huidig!J27-0.0000017*D26/30</f>
        <v>0</v>
      </c>
      <c r="J26" s="77">
        <f>Huidig!B27</f>
        <v>0</v>
      </c>
      <c r="K26" s="77">
        <f>Huidig!C27</f>
        <v>0</v>
      </c>
      <c r="L26" s="77">
        <f>Huidig!N27</f>
        <v>0</v>
      </c>
    </row>
    <row r="27" spans="1:12" ht="12.75">
      <c r="A27" s="165">
        <f>IF(Huidig!$O28&gt;1,INDEX(Normen!$A$12:$C$128,Huidig!$O28,1),"")</f>
      </c>
      <c r="B27" s="69">
        <f t="shared" si="0"/>
        <v>0</v>
      </c>
      <c r="C27" s="69">
        <f t="shared" si="1"/>
        <v>0</v>
      </c>
      <c r="D27" s="38">
        <f>30*Huidig!D28</f>
        <v>0</v>
      </c>
      <c r="E27" s="68">
        <f>Huidig!G28</f>
        <v>25</v>
      </c>
      <c r="F27" s="68">
        <f>Huidig!S28</f>
        <v>10</v>
      </c>
      <c r="G27" s="71">
        <f t="shared" si="2"/>
        <v>0</v>
      </c>
      <c r="H27" s="71">
        <f>Huidig!J28-0.0000017*D27/30</f>
        <v>0</v>
      </c>
      <c r="J27" s="77">
        <f>Huidig!B28</f>
        <v>0</v>
      </c>
      <c r="K27" s="77">
        <f>Huidig!C28</f>
        <v>0</v>
      </c>
      <c r="L27" s="77">
        <f>Huidig!N28</f>
        <v>0</v>
      </c>
    </row>
    <row r="28" spans="1:12" ht="12.75">
      <c r="A28" s="165">
        <f>IF(Huidig!$O29&gt;1,INDEX(Normen!$A$12:$C$128,Huidig!$O29,1),"")</f>
      </c>
      <c r="B28" s="69">
        <f t="shared" si="0"/>
        <v>0</v>
      </c>
      <c r="C28" s="69">
        <f t="shared" si="1"/>
        <v>0</v>
      </c>
      <c r="D28" s="38">
        <f>30*Huidig!D29</f>
        <v>0</v>
      </c>
      <c r="E28" s="68">
        <f>Huidig!G29</f>
        <v>25</v>
      </c>
      <c r="F28" s="68">
        <f>Huidig!S29</f>
        <v>10</v>
      </c>
      <c r="G28" s="71">
        <f t="shared" si="2"/>
        <v>0</v>
      </c>
      <c r="H28" s="71">
        <f>Huidig!J29-0.0000017*D28/30</f>
        <v>0</v>
      </c>
      <c r="J28" s="77">
        <f>Huidig!B29</f>
        <v>0</v>
      </c>
      <c r="K28" s="77">
        <f>Huidig!C29</f>
        <v>0</v>
      </c>
      <c r="L28" s="77">
        <f>Huidig!N29</f>
        <v>0</v>
      </c>
    </row>
    <row r="29" spans="1:12" ht="12.75">
      <c r="A29" s="165">
        <f>IF(Huidig!$O30&gt;1,INDEX(Normen!$A$12:$C$128,Huidig!$O30,1),"")</f>
      </c>
      <c r="B29" s="69">
        <f t="shared" si="0"/>
        <v>0</v>
      </c>
      <c r="C29" s="69">
        <f t="shared" si="1"/>
        <v>0</v>
      </c>
      <c r="D29" s="38">
        <f>30*Huidig!D30</f>
        <v>0</v>
      </c>
      <c r="E29" s="68">
        <f>Huidig!G30</f>
        <v>25</v>
      </c>
      <c r="F29" s="68">
        <f>Huidig!S30</f>
        <v>10</v>
      </c>
      <c r="G29" s="71">
        <f t="shared" si="2"/>
        <v>0</v>
      </c>
      <c r="H29" s="71">
        <f>Huidig!J30-0.0000017*D29/30</f>
        <v>0</v>
      </c>
      <c r="J29" s="77">
        <f>Huidig!B30</f>
        <v>0</v>
      </c>
      <c r="K29" s="77">
        <f>Huidig!C30</f>
        <v>0</v>
      </c>
      <c r="L29" s="77">
        <f>Huidig!N30</f>
        <v>0</v>
      </c>
    </row>
    <row r="30" spans="1:12" ht="12.75">
      <c r="A30" s="165">
        <f>IF(Huidig!$O31&gt;1,INDEX(Normen!$A$12:$C$128,Huidig!$O31,1),"")</f>
      </c>
      <c r="B30" s="69">
        <f t="shared" si="0"/>
        <v>0</v>
      </c>
      <c r="C30" s="69">
        <f t="shared" si="1"/>
        <v>0</v>
      </c>
      <c r="D30" s="38">
        <f>30*Huidig!D31</f>
        <v>0</v>
      </c>
      <c r="E30" s="68">
        <f>Huidig!G31</f>
        <v>25</v>
      </c>
      <c r="F30" s="68">
        <f>Huidig!S31</f>
        <v>10</v>
      </c>
      <c r="G30" s="71">
        <f t="shared" si="2"/>
        <v>0</v>
      </c>
      <c r="H30" s="71">
        <f>Huidig!J31-0.0000017*D30/30</f>
        <v>0</v>
      </c>
      <c r="J30" s="77">
        <f>Huidig!B31</f>
        <v>0</v>
      </c>
      <c r="K30" s="77">
        <f>Huidig!C31</f>
        <v>0</v>
      </c>
      <c r="L30" s="77">
        <f>Huidig!N31</f>
        <v>0</v>
      </c>
    </row>
    <row r="31" spans="1:12" ht="12.75">
      <c r="A31" s="165">
        <f>IF(Huidig!$O32&gt;1,INDEX(Normen!$A$12:$C$128,Huidig!$O32,1),"")</f>
      </c>
      <c r="B31" s="69">
        <f t="shared" si="0"/>
        <v>0</v>
      </c>
      <c r="C31" s="69">
        <f t="shared" si="1"/>
        <v>0</v>
      </c>
      <c r="D31" s="38">
        <f>30*Huidig!D32</f>
        <v>0</v>
      </c>
      <c r="E31" s="68">
        <f>Huidig!G32</f>
        <v>25</v>
      </c>
      <c r="F31" s="68">
        <f>Huidig!S32</f>
        <v>10</v>
      </c>
      <c r="G31" s="71">
        <f t="shared" si="2"/>
        <v>0</v>
      </c>
      <c r="H31" s="71">
        <f>Huidig!J32-0.0000017*D31/30</f>
        <v>0</v>
      </c>
      <c r="J31" s="77">
        <f>Huidig!B32</f>
        <v>0</v>
      </c>
      <c r="K31" s="77">
        <f>Huidig!C32</f>
        <v>0</v>
      </c>
      <c r="L31" s="77">
        <f>Huidig!N32</f>
        <v>0</v>
      </c>
    </row>
    <row r="32" spans="1:12" ht="12.75">
      <c r="A32" s="165">
        <f>IF(Huidig!A33="Type een verontreiniging:","",Huidig!A33)</f>
      </c>
      <c r="B32" s="69">
        <f t="shared" si="0"/>
        <v>0</v>
      </c>
      <c r="C32" s="69">
        <f t="shared" si="1"/>
        <v>0</v>
      </c>
      <c r="D32" s="38">
        <f>30*Huidig!D33</f>
        <v>0</v>
      </c>
      <c r="E32" s="68"/>
      <c r="F32" s="68"/>
      <c r="G32" s="71">
        <f t="shared" si="2"/>
        <v>0</v>
      </c>
      <c r="H32" s="71">
        <f>Huidig!J33-0.0000017*D32/30</f>
        <v>0</v>
      </c>
      <c r="J32" s="77">
        <f>Huidig!B33</f>
        <v>0</v>
      </c>
      <c r="K32" s="77">
        <f>Huidig!C33</f>
        <v>0</v>
      </c>
      <c r="L32" s="77">
        <f>Huidig!N33</f>
        <v>0</v>
      </c>
    </row>
    <row r="33" spans="1:12" ht="12.75">
      <c r="A33" s="165">
        <f>IF(Huidig!A34="Type een verontreiniging:","",Huidig!A34)</f>
      </c>
      <c r="B33" s="69">
        <f t="shared" si="0"/>
        <v>0</v>
      </c>
      <c r="C33" s="69">
        <f t="shared" si="1"/>
        <v>0</v>
      </c>
      <c r="D33" s="38">
        <f>30*Huidig!D34</f>
        <v>0</v>
      </c>
      <c r="E33" s="68"/>
      <c r="F33" s="68"/>
      <c r="G33" s="71">
        <f t="shared" si="2"/>
        <v>0</v>
      </c>
      <c r="H33" s="71">
        <f>Huidig!J34-0.0000017*D33/30</f>
        <v>0</v>
      </c>
      <c r="J33" s="77">
        <f>Huidig!B34</f>
        <v>0</v>
      </c>
      <c r="K33" s="77">
        <f>Huidig!C34</f>
        <v>0</v>
      </c>
      <c r="L33" s="77">
        <f>Huidig!N34</f>
        <v>0</v>
      </c>
    </row>
    <row r="34" spans="1:12" ht="12.75">
      <c r="A34" s="165">
        <f>IF(Huidig!A35="Type een verontreiniging:","",Huidig!A35)</f>
      </c>
      <c r="B34" s="69">
        <f t="shared" si="0"/>
        <v>0</v>
      </c>
      <c r="C34" s="69">
        <f t="shared" si="1"/>
        <v>0</v>
      </c>
      <c r="D34" s="38">
        <f>30*Huidig!D35</f>
        <v>0</v>
      </c>
      <c r="E34" s="68"/>
      <c r="F34" s="68"/>
      <c r="G34" s="71">
        <f t="shared" si="2"/>
        <v>0</v>
      </c>
      <c r="H34" s="71">
        <f>Huidig!J35-0.0000017*D34/30</f>
        <v>0</v>
      </c>
      <c r="J34" s="77">
        <f>Huidig!B35</f>
        <v>0</v>
      </c>
      <c r="K34" s="77">
        <f>Huidig!C35</f>
        <v>0</v>
      </c>
      <c r="L34" s="77">
        <f>Huidig!N35</f>
        <v>0</v>
      </c>
    </row>
    <row r="35" spans="1:12" ht="12.75">
      <c r="A35" s="136" t="s">
        <v>36</v>
      </c>
      <c r="B35" s="68"/>
      <c r="C35" s="68"/>
      <c r="D35" s="68"/>
      <c r="E35" s="68"/>
      <c r="F35" s="68"/>
      <c r="G35" s="84">
        <f>SUM(G24:G34)</f>
        <v>0</v>
      </c>
      <c r="H35" s="68"/>
      <c r="J35" s="77"/>
      <c r="K35" s="77"/>
      <c r="L35" s="77"/>
    </row>
    <row r="36" spans="1:12" ht="12.75">
      <c r="A36" s="136" t="str">
        <f>A22</f>
        <v>M1 grondkwaliteit</v>
      </c>
      <c r="B36" s="74">
        <f>Huidig!I36-V!G35</f>
        <v>0</v>
      </c>
      <c r="C36" s="68"/>
      <c r="D36" s="68"/>
      <c r="E36" s="68"/>
      <c r="F36" s="68"/>
      <c r="G36" s="68"/>
      <c r="H36" s="68"/>
      <c r="J36" s="77"/>
      <c r="K36" s="77"/>
      <c r="L36" s="77"/>
    </row>
    <row r="37" spans="10:12" ht="12.75">
      <c r="J37" s="77"/>
      <c r="K37" s="77"/>
      <c r="L37" s="77"/>
    </row>
    <row r="38" spans="1:12" ht="12.75">
      <c r="A38" s="20"/>
      <c r="J38" s="77"/>
      <c r="K38" s="77"/>
      <c r="L38" s="77"/>
    </row>
    <row r="39" spans="1:12" ht="12.75">
      <c r="A39" s="55" t="str">
        <f>A1</f>
        <v>Variant V</v>
      </c>
      <c r="J39" s="77"/>
      <c r="K39" s="77"/>
      <c r="L39" s="77"/>
    </row>
    <row r="40" spans="1:12" ht="12.75">
      <c r="A40" s="55" t="str">
        <f>A7</f>
        <v>M2 grondwaterkwaliteit</v>
      </c>
      <c r="J40" s="77"/>
      <c r="K40" s="77"/>
      <c r="L40" s="77"/>
    </row>
    <row r="41" spans="1:12" s="19" customFormat="1" ht="38.25" customHeight="1">
      <c r="A41" s="170" t="str">
        <f>Huidig!A42</f>
        <v>Verontreinigende stof</v>
      </c>
      <c r="B41" s="132" t="str">
        <f>Huidig!B42</f>
        <v>s [ug/l]</v>
      </c>
      <c r="C41" s="132" t="str">
        <f>Huidig!C42</f>
        <v>i [ug/l]</v>
      </c>
      <c r="D41" s="132" t="s">
        <v>418</v>
      </c>
      <c r="E41" s="132" t="str">
        <f>Huidig!I42</f>
        <v>Water-kubels [m3]</v>
      </c>
      <c r="J41" s="133" t="str">
        <f>Huidig!M42</f>
        <v>t</v>
      </c>
      <c r="K41" s="134"/>
      <c r="L41" s="78"/>
    </row>
    <row r="42" spans="1:11" ht="12.75">
      <c r="A42" s="165">
        <f>IF(Huidig!$P43&gt;1,INDEX(Normen!$A$12:$C$128,Huidig!$P43,1),"")</f>
      </c>
      <c r="B42" s="68">
        <f>Huidig!B43</f>
        <v>0</v>
      </c>
      <c r="C42" s="68">
        <f>Huidig!C43</f>
        <v>0</v>
      </c>
      <c r="D42" s="38">
        <f>30*Huidig!D43</f>
        <v>0</v>
      </c>
      <c r="E42" s="68">
        <f>IF(D42&gt;0,1000000000*D42/(30*J42),0)</f>
        <v>0</v>
      </c>
      <c r="F42" s="61"/>
      <c r="J42" s="77">
        <f aca="true" t="shared" si="3" ref="J42:J52">0.5*(B42+C42)</f>
        <v>0</v>
      </c>
      <c r="K42" s="77"/>
    </row>
    <row r="43" spans="1:11" ht="12.75">
      <c r="A43" s="165">
        <f>IF(Huidig!$P44&gt;1,INDEX(Normen!$A$12:$C$128,Huidig!$P44,1),"")</f>
      </c>
      <c r="B43" s="68">
        <f>Huidig!B44</f>
        <v>0</v>
      </c>
      <c r="C43" s="68">
        <f>Huidig!C44</f>
        <v>0</v>
      </c>
      <c r="D43" s="38">
        <f>30*Huidig!D44</f>
        <v>0</v>
      </c>
      <c r="E43" s="68">
        <f aca="true" t="shared" si="4" ref="E43:E52">IF(D43&gt;0,1000000000*D43/(30*J43),0)</f>
        <v>0</v>
      </c>
      <c r="F43" s="61"/>
      <c r="J43" s="77">
        <f t="shared" si="3"/>
        <v>0</v>
      </c>
      <c r="K43" s="77"/>
    </row>
    <row r="44" spans="1:11" ht="12.75">
      <c r="A44" s="165">
        <f>IF(Huidig!$P45&gt;1,INDEX(Normen!$A$12:$C$128,Huidig!$P45,1),"")</f>
      </c>
      <c r="B44" s="68">
        <f>Huidig!B45</f>
        <v>0</v>
      </c>
      <c r="C44" s="68">
        <f>Huidig!C45</f>
        <v>0</v>
      </c>
      <c r="D44" s="38">
        <f>30*Huidig!D45</f>
        <v>0</v>
      </c>
      <c r="E44" s="68">
        <f t="shared" si="4"/>
        <v>0</v>
      </c>
      <c r="F44" s="61"/>
      <c r="J44" s="77">
        <f t="shared" si="3"/>
        <v>0</v>
      </c>
      <c r="K44" s="77"/>
    </row>
    <row r="45" spans="1:11" ht="12.75">
      <c r="A45" s="165">
        <f>IF(Huidig!$P46&gt;1,INDEX(Normen!$A$12:$C$128,Huidig!$P46,1),"")</f>
      </c>
      <c r="B45" s="68">
        <f>Huidig!B46</f>
        <v>0</v>
      </c>
      <c r="C45" s="68">
        <f>Huidig!C46</f>
        <v>0</v>
      </c>
      <c r="D45" s="38">
        <f>30*Huidig!D46</f>
        <v>0</v>
      </c>
      <c r="E45" s="68">
        <f t="shared" si="4"/>
        <v>0</v>
      </c>
      <c r="F45" s="61"/>
      <c r="J45" s="77">
        <f t="shared" si="3"/>
        <v>0</v>
      </c>
      <c r="K45" s="77"/>
    </row>
    <row r="46" spans="1:11" ht="12.75">
      <c r="A46" s="165">
        <f>IF(Huidig!$P47&gt;1,INDEX(Normen!$A$12:$C$128,Huidig!$P47,1),"")</f>
      </c>
      <c r="B46" s="68">
        <f>Huidig!B47</f>
        <v>0</v>
      </c>
      <c r="C46" s="68">
        <f>Huidig!C47</f>
        <v>0</v>
      </c>
      <c r="D46" s="38">
        <f>30*Huidig!D47</f>
        <v>0</v>
      </c>
      <c r="E46" s="68">
        <f t="shared" si="4"/>
        <v>0</v>
      </c>
      <c r="F46" s="61"/>
      <c r="J46" s="77">
        <f t="shared" si="3"/>
        <v>0</v>
      </c>
      <c r="K46" s="77"/>
    </row>
    <row r="47" spans="1:11" ht="12.75">
      <c r="A47" s="165">
        <f>IF(Huidig!$P48&gt;1,INDEX(Normen!$A$12:$C$128,Huidig!$P48,1),"")</f>
      </c>
      <c r="B47" s="68">
        <f>Huidig!B48</f>
        <v>0</v>
      </c>
      <c r="C47" s="68">
        <f>Huidig!C48</f>
        <v>0</v>
      </c>
      <c r="D47" s="38">
        <f>30*Huidig!D48</f>
        <v>0</v>
      </c>
      <c r="E47" s="68">
        <f t="shared" si="4"/>
        <v>0</v>
      </c>
      <c r="F47" s="61"/>
      <c r="J47" s="77">
        <f t="shared" si="3"/>
        <v>0</v>
      </c>
      <c r="K47" s="77"/>
    </row>
    <row r="48" spans="1:11" ht="12.75">
      <c r="A48" s="165">
        <f>IF(Huidig!$P49&gt;1,INDEX(Normen!$A$12:$C$128,Huidig!$P49,1),"")</f>
      </c>
      <c r="B48" s="68">
        <f>Huidig!B49</f>
        <v>0</v>
      </c>
      <c r="C48" s="68">
        <f>Huidig!C49</f>
        <v>0</v>
      </c>
      <c r="D48" s="38">
        <f>30*Huidig!D49</f>
        <v>0</v>
      </c>
      <c r="E48" s="68">
        <f t="shared" si="4"/>
        <v>0</v>
      </c>
      <c r="F48" s="61"/>
      <c r="J48" s="77">
        <f t="shared" si="3"/>
        <v>0</v>
      </c>
      <c r="K48" s="77"/>
    </row>
    <row r="49" spans="1:11" ht="12.75">
      <c r="A49" s="165">
        <f>IF(Huidig!$P50&gt;1,INDEX(Normen!$A$12:$C$128,Huidig!$P50,1),"")</f>
      </c>
      <c r="B49" s="68">
        <f>Huidig!B50</f>
        <v>0</v>
      </c>
      <c r="C49" s="68">
        <f>Huidig!C50</f>
        <v>0</v>
      </c>
      <c r="D49" s="38">
        <f>30*Huidig!D50</f>
        <v>0</v>
      </c>
      <c r="E49" s="68">
        <f t="shared" si="4"/>
        <v>0</v>
      </c>
      <c r="F49" s="61"/>
      <c r="J49" s="77">
        <f t="shared" si="3"/>
        <v>0</v>
      </c>
      <c r="K49" s="77"/>
    </row>
    <row r="50" spans="1:11" ht="12.75">
      <c r="A50" s="165">
        <f>IF(Huidig!A51="Type een verontreiniging:","",Huidig!A51)</f>
      </c>
      <c r="B50" s="68">
        <f>Huidig!B51</f>
        <v>0</v>
      </c>
      <c r="C50" s="68">
        <f>Huidig!C51</f>
        <v>0</v>
      </c>
      <c r="D50" s="38">
        <f>30*Huidig!D51</f>
        <v>0</v>
      </c>
      <c r="E50" s="68">
        <f t="shared" si="4"/>
        <v>0</v>
      </c>
      <c r="F50" s="61"/>
      <c r="J50" s="77">
        <f t="shared" si="3"/>
        <v>0</v>
      </c>
      <c r="K50" s="77"/>
    </row>
    <row r="51" spans="1:11" ht="12.75">
      <c r="A51" s="165">
        <f>IF(Huidig!A52="Type een verontreiniging:","",Huidig!A52)</f>
      </c>
      <c r="B51" s="68">
        <f>Huidig!B52</f>
        <v>0</v>
      </c>
      <c r="C51" s="68">
        <f>Huidig!C52</f>
        <v>0</v>
      </c>
      <c r="D51" s="38">
        <f>30*Huidig!D52</f>
        <v>0</v>
      </c>
      <c r="E51" s="68">
        <f t="shared" si="4"/>
        <v>0</v>
      </c>
      <c r="F51" s="61"/>
      <c r="J51" s="77">
        <f t="shared" si="3"/>
        <v>0</v>
      </c>
      <c r="K51" s="77"/>
    </row>
    <row r="52" spans="1:11" ht="12.75">
      <c r="A52" s="165">
        <f>IF(Huidig!A53="Type een verontreiniging:","",Huidig!A53)</f>
      </c>
      <c r="B52" s="68">
        <f>Huidig!B53</f>
        <v>0</v>
      </c>
      <c r="C52" s="68">
        <f>Huidig!C53</f>
        <v>0</v>
      </c>
      <c r="D52" s="38">
        <f>30*Huidig!D53</f>
        <v>0</v>
      </c>
      <c r="E52" s="68">
        <f t="shared" si="4"/>
        <v>0</v>
      </c>
      <c r="F52" s="61"/>
      <c r="J52" s="77">
        <f t="shared" si="3"/>
        <v>0</v>
      </c>
      <c r="K52" s="77"/>
    </row>
    <row r="53" spans="1:12" ht="12.75">
      <c r="A53" s="136" t="s">
        <v>36</v>
      </c>
      <c r="B53" s="68"/>
      <c r="C53" s="68"/>
      <c r="D53" s="68"/>
      <c r="E53" s="84">
        <f>SUM(E42:E52)</f>
        <v>0</v>
      </c>
      <c r="J53" s="77"/>
      <c r="K53" s="77"/>
      <c r="L53" s="77"/>
    </row>
    <row r="54" spans="1:12" ht="12.75">
      <c r="A54" s="136" t="str">
        <f>A40</f>
        <v>M2 grondwaterkwaliteit</v>
      </c>
      <c r="B54" s="74">
        <f>Huidig!I54-V!E53</f>
        <v>0</v>
      </c>
      <c r="C54" s="68"/>
      <c r="D54" s="68"/>
      <c r="E54" s="68"/>
      <c r="J54" s="77"/>
      <c r="K54" s="77"/>
      <c r="L54" s="77"/>
    </row>
    <row r="55" spans="10:12" ht="12.75">
      <c r="J55" s="77"/>
      <c r="K55" s="77"/>
      <c r="L55" s="77"/>
    </row>
    <row r="56" ht="12.75">
      <c r="A56" s="20"/>
    </row>
    <row r="57" ht="12.75">
      <c r="A57" s="55" t="str">
        <f>A1</f>
        <v>Variant V</v>
      </c>
    </row>
    <row r="58" ht="12.75">
      <c r="A58" s="55" t="str">
        <f>A8</f>
        <v>M3 verlies grond</v>
      </c>
    </row>
    <row r="59" spans="1:3" ht="12.75">
      <c r="A59" s="165" t="s">
        <v>44</v>
      </c>
      <c r="B59" s="38"/>
      <c r="C59" s="54"/>
    </row>
    <row r="60" spans="1:3" ht="12.75">
      <c r="A60" s="165" t="s">
        <v>45</v>
      </c>
      <c r="B60" s="38"/>
      <c r="C60" s="54"/>
    </row>
    <row r="61" spans="1:3" ht="12.75">
      <c r="A61" s="165"/>
      <c r="B61" s="68"/>
      <c r="C61" s="54"/>
    </row>
    <row r="62" spans="1:2" ht="12.75">
      <c r="A62" s="174" t="str">
        <f>A58</f>
        <v>M3 verlies grond</v>
      </c>
      <c r="B62" s="74">
        <f>B59-B60</f>
        <v>0</v>
      </c>
    </row>
    <row r="63" ht="12.75"/>
    <row r="64" ht="12.75">
      <c r="A64" s="20"/>
    </row>
    <row r="65" ht="12.75">
      <c r="A65" s="55" t="str">
        <f>A1</f>
        <v>Variant V</v>
      </c>
    </row>
    <row r="66" ht="12.75">
      <c r="A66" s="55" t="str">
        <f>A9</f>
        <v>M4 verlies grondwater</v>
      </c>
    </row>
    <row r="67" spans="1:3" ht="12.75">
      <c r="A67" s="165" t="s">
        <v>46</v>
      </c>
      <c r="B67" s="38"/>
      <c r="C67" s="54"/>
    </row>
    <row r="68" spans="1:3" ht="12.75">
      <c r="A68" s="165" t="s">
        <v>47</v>
      </c>
      <c r="B68" s="38"/>
      <c r="C68" s="54"/>
    </row>
    <row r="69" spans="1:3" ht="12.75">
      <c r="A69" s="165"/>
      <c r="B69" s="68"/>
      <c r="C69" s="54"/>
    </row>
    <row r="70" spans="1:2" ht="12.75">
      <c r="A70" s="136" t="str">
        <f>A66</f>
        <v>M4 verlies grondwater</v>
      </c>
      <c r="B70" s="74">
        <f>B67-B68</f>
        <v>0</v>
      </c>
    </row>
    <row r="71" ht="12.75"/>
    <row r="72" ht="12.75">
      <c r="A72" s="20"/>
    </row>
    <row r="73" ht="12.75">
      <c r="A73" s="55" t="str">
        <f>A1</f>
        <v>Variant V</v>
      </c>
    </row>
    <row r="74" ht="12.75">
      <c r="A74" s="55" t="str">
        <f>A10</f>
        <v>M5/6 energiegebruik en emissies</v>
      </c>
    </row>
    <row r="75" spans="1:12" s="94" customFormat="1" ht="25.5">
      <c r="A75" s="172" t="s">
        <v>48</v>
      </c>
      <c r="B75" s="96" t="s">
        <v>49</v>
      </c>
      <c r="C75" s="97" t="s">
        <v>325</v>
      </c>
      <c r="D75" s="98" t="s">
        <v>275</v>
      </c>
      <c r="E75" s="99" t="s">
        <v>50</v>
      </c>
      <c r="F75" s="96" t="s">
        <v>51</v>
      </c>
      <c r="G75" s="96" t="s">
        <v>52</v>
      </c>
      <c r="H75" s="96" t="s">
        <v>53</v>
      </c>
      <c r="J75" s="95"/>
      <c r="K75" s="95"/>
      <c r="L75" s="95"/>
    </row>
    <row r="76" spans="1:8" ht="12.75">
      <c r="A76" s="135"/>
      <c r="B76" s="68" t="s">
        <v>54</v>
      </c>
      <c r="C76" s="90"/>
      <c r="D76" s="86"/>
      <c r="E76" s="88"/>
      <c r="F76" s="68"/>
      <c r="G76" s="68"/>
      <c r="H76" s="68"/>
    </row>
    <row r="77" spans="1:8" ht="12.75">
      <c r="A77" s="135" t="s">
        <v>371</v>
      </c>
      <c r="B77" s="68" t="s">
        <v>55</v>
      </c>
      <c r="C77" s="91"/>
      <c r="D77" s="239"/>
      <c r="E77" s="89">
        <v>35</v>
      </c>
      <c r="F77" s="68" t="s">
        <v>56</v>
      </c>
      <c r="G77" s="68">
        <f>C77*E77</f>
        <v>0</v>
      </c>
      <c r="H77" s="68"/>
    </row>
    <row r="78" spans="1:8" ht="12.75">
      <c r="A78" s="135" t="s">
        <v>372</v>
      </c>
      <c r="B78" s="68" t="s">
        <v>55</v>
      </c>
      <c r="C78" s="39"/>
      <c r="D78" s="239"/>
      <c r="E78" s="89">
        <v>0.7</v>
      </c>
      <c r="F78" s="68" t="s">
        <v>57</v>
      </c>
      <c r="G78" s="68">
        <f>C78*E78*C79</f>
        <v>0</v>
      </c>
      <c r="H78" s="68"/>
    </row>
    <row r="79" spans="1:8" ht="12.75">
      <c r="A79" s="173" t="s">
        <v>58</v>
      </c>
      <c r="B79" s="85" t="s">
        <v>59</v>
      </c>
      <c r="C79" s="40"/>
      <c r="D79" s="239"/>
      <c r="E79" s="240" t="s">
        <v>54</v>
      </c>
      <c r="F79" s="68"/>
      <c r="G79" s="68" t="s">
        <v>54</v>
      </c>
      <c r="H79" s="68"/>
    </row>
    <row r="80" spans="1:8" ht="12.75">
      <c r="A80" s="135" t="s">
        <v>373</v>
      </c>
      <c r="B80" s="68" t="s">
        <v>55</v>
      </c>
      <c r="C80" s="39"/>
      <c r="D80" s="239"/>
      <c r="E80" s="89">
        <v>0.7</v>
      </c>
      <c r="F80" s="68" t="s">
        <v>57</v>
      </c>
      <c r="G80" s="68">
        <f>C80*E80*C81</f>
        <v>0</v>
      </c>
      <c r="H80" s="68"/>
    </row>
    <row r="81" spans="1:8" ht="12.75">
      <c r="A81" s="173" t="s">
        <v>60</v>
      </c>
      <c r="B81" s="85" t="s">
        <v>59</v>
      </c>
      <c r="C81" s="40"/>
      <c r="D81" s="239"/>
      <c r="E81" s="240" t="s">
        <v>54</v>
      </c>
      <c r="F81" s="68"/>
      <c r="G81" s="68" t="s">
        <v>54</v>
      </c>
      <c r="H81" s="68"/>
    </row>
    <row r="82" spans="1:8" ht="12.75">
      <c r="A82" s="135" t="s">
        <v>374</v>
      </c>
      <c r="B82" s="68" t="s">
        <v>61</v>
      </c>
      <c r="C82" s="241"/>
      <c r="D82" s="87"/>
      <c r="E82" s="89">
        <v>40</v>
      </c>
      <c r="F82" s="68" t="s">
        <v>56</v>
      </c>
      <c r="G82" s="68"/>
      <c r="H82" s="68">
        <f>E82*D82</f>
        <v>0</v>
      </c>
    </row>
    <row r="83" spans="1:8" ht="12.75">
      <c r="A83" s="135" t="s">
        <v>375</v>
      </c>
      <c r="B83" s="68" t="s">
        <v>61</v>
      </c>
      <c r="C83" s="241"/>
      <c r="D83" s="87"/>
      <c r="E83" s="89">
        <v>120</v>
      </c>
      <c r="F83" s="68" t="s">
        <v>56</v>
      </c>
      <c r="G83" s="68"/>
      <c r="H83" s="68">
        <f>E83*D83</f>
        <v>0</v>
      </c>
    </row>
    <row r="84" spans="1:8" ht="12.75">
      <c r="A84" s="135" t="s">
        <v>376</v>
      </c>
      <c r="B84" s="68" t="s">
        <v>61</v>
      </c>
      <c r="C84" s="241"/>
      <c r="D84" s="87"/>
      <c r="E84" s="89">
        <v>600</v>
      </c>
      <c r="F84" s="68" t="s">
        <v>56</v>
      </c>
      <c r="G84" s="68"/>
      <c r="H84" s="68">
        <f>E84*D84</f>
        <v>0</v>
      </c>
    </row>
    <row r="85" spans="1:8" ht="12.75">
      <c r="A85" s="135" t="s">
        <v>377</v>
      </c>
      <c r="B85" s="68" t="s">
        <v>61</v>
      </c>
      <c r="C85" s="241"/>
      <c r="D85" s="87"/>
      <c r="E85" s="89"/>
      <c r="F85" s="68" t="s">
        <v>56</v>
      </c>
      <c r="G85" s="68"/>
      <c r="H85" s="68">
        <f>E85*D85</f>
        <v>0</v>
      </c>
    </row>
    <row r="86" spans="1:8" ht="12.75">
      <c r="A86" s="135" t="s">
        <v>378</v>
      </c>
      <c r="B86" s="68" t="s">
        <v>62</v>
      </c>
      <c r="C86" s="241"/>
      <c r="D86" s="39"/>
      <c r="E86" s="89">
        <v>0.05</v>
      </c>
      <c r="F86" s="68" t="s">
        <v>63</v>
      </c>
      <c r="G86" s="68"/>
      <c r="H86" s="68">
        <f>IF($D$87&gt;0,D86*$E86*$D$87,D86*$E86*2)</f>
        <v>0</v>
      </c>
    </row>
    <row r="87" spans="1:8" ht="12.75">
      <c r="A87" s="173" t="s">
        <v>64</v>
      </c>
      <c r="B87" s="68" t="s">
        <v>65</v>
      </c>
      <c r="C87" s="241"/>
      <c r="D87" s="40"/>
      <c r="E87" s="240"/>
      <c r="F87" s="68"/>
      <c r="G87" s="68"/>
      <c r="H87" s="68"/>
    </row>
    <row r="88" spans="1:8" ht="12.75">
      <c r="A88" s="135" t="s">
        <v>379</v>
      </c>
      <c r="B88" s="68" t="s">
        <v>66</v>
      </c>
      <c r="C88" s="39"/>
      <c r="D88" s="239"/>
      <c r="E88" s="89"/>
      <c r="F88" s="68" t="s">
        <v>63</v>
      </c>
      <c r="G88" s="68">
        <f>IF($C$89&gt;0,IF(E88&gt;0,C88*$E88*$C$89,C88*0.02*$C$89),IF(E88&gt;0,C88*$E88*2,C88*2*0.02))</f>
        <v>0</v>
      </c>
      <c r="H88" s="68"/>
    </row>
    <row r="89" spans="1:8" ht="12.75">
      <c r="A89" s="173" t="s">
        <v>64</v>
      </c>
      <c r="B89" s="68" t="s">
        <v>67</v>
      </c>
      <c r="C89" s="40"/>
      <c r="D89" s="239"/>
      <c r="E89" s="240" t="s">
        <v>54</v>
      </c>
      <c r="F89" s="68" t="s">
        <v>54</v>
      </c>
      <c r="G89" s="68" t="s">
        <v>54</v>
      </c>
      <c r="H89" s="68"/>
    </row>
    <row r="90" spans="1:8" ht="12.75">
      <c r="A90" s="135" t="s">
        <v>380</v>
      </c>
      <c r="B90" s="68" t="s">
        <v>62</v>
      </c>
      <c r="C90" s="241"/>
      <c r="D90" s="87"/>
      <c r="E90" s="89">
        <v>0.4</v>
      </c>
      <c r="F90" s="68" t="s">
        <v>68</v>
      </c>
      <c r="G90" s="68"/>
      <c r="H90" s="68">
        <f>E90*D90</f>
        <v>0</v>
      </c>
    </row>
    <row r="91" spans="1:8" ht="12.75">
      <c r="A91" s="135" t="s">
        <v>381</v>
      </c>
      <c r="B91" s="68" t="s">
        <v>62</v>
      </c>
      <c r="C91" s="241"/>
      <c r="D91" s="87"/>
      <c r="E91" s="89">
        <v>1.2</v>
      </c>
      <c r="F91" s="68" t="s">
        <v>68</v>
      </c>
      <c r="G91" s="68"/>
      <c r="H91" s="68">
        <f>E91*D91</f>
        <v>0</v>
      </c>
    </row>
    <row r="92" spans="1:8" ht="12.75">
      <c r="A92" s="135" t="s">
        <v>326</v>
      </c>
      <c r="B92" s="162" t="s">
        <v>327</v>
      </c>
      <c r="C92" s="163"/>
      <c r="D92" s="239"/>
      <c r="E92" s="89">
        <f>1000*0.03165</f>
        <v>31.65</v>
      </c>
      <c r="F92" s="68" t="s">
        <v>68</v>
      </c>
      <c r="G92" s="68"/>
      <c r="H92" s="69">
        <f>C92*E92</f>
        <v>0</v>
      </c>
    </row>
    <row r="93" spans="1:8" ht="12.75">
      <c r="A93" s="165" t="s">
        <v>69</v>
      </c>
      <c r="B93" s="68" t="s">
        <v>56</v>
      </c>
      <c r="C93" s="91"/>
      <c r="D93" s="239"/>
      <c r="E93" s="89">
        <v>35</v>
      </c>
      <c r="F93" s="68" t="s">
        <v>56</v>
      </c>
      <c r="G93" s="68">
        <f>E93*C93</f>
        <v>0</v>
      </c>
      <c r="H93" s="68"/>
    </row>
    <row r="94" spans="1:8" ht="12.75">
      <c r="A94" s="165" t="s">
        <v>70</v>
      </c>
      <c r="B94" s="85" t="s">
        <v>71</v>
      </c>
      <c r="C94" s="241"/>
      <c r="D94" s="87"/>
      <c r="E94" s="240"/>
      <c r="F94" s="68" t="s">
        <v>54</v>
      </c>
      <c r="G94" s="68"/>
      <c r="H94" s="68">
        <f>D94</f>
        <v>0</v>
      </c>
    </row>
    <row r="95" spans="1:8" ht="12.75">
      <c r="A95" s="136" t="s">
        <v>72</v>
      </c>
      <c r="B95" s="67"/>
      <c r="C95" s="68"/>
      <c r="D95" s="68"/>
      <c r="E95" s="68"/>
      <c r="F95" s="68" t="s">
        <v>54</v>
      </c>
      <c r="G95" s="68">
        <f>SUM(G77:G94)</f>
        <v>0</v>
      </c>
      <c r="H95" s="68">
        <f>SUM(H77:H94)</f>
        <v>0</v>
      </c>
    </row>
    <row r="96" spans="1:8" ht="12.75">
      <c r="A96" s="135"/>
      <c r="B96" s="68"/>
      <c r="C96" s="68"/>
      <c r="D96" s="68"/>
      <c r="E96" s="68"/>
      <c r="F96" s="68"/>
      <c r="G96" s="68"/>
      <c r="H96" s="68"/>
    </row>
    <row r="97" spans="1:8" ht="12.75">
      <c r="A97" s="165"/>
      <c r="B97" s="67"/>
      <c r="C97" s="68"/>
      <c r="D97" s="68"/>
      <c r="E97" s="68"/>
      <c r="F97" s="68"/>
      <c r="G97" s="68"/>
      <c r="H97" s="68"/>
    </row>
    <row r="98" spans="1:8" ht="12.75">
      <c r="A98" s="136" t="s">
        <v>318</v>
      </c>
      <c r="B98" s="74">
        <f>0.001*(G95+H95)/200</f>
        <v>0</v>
      </c>
      <c r="C98" s="68" t="s">
        <v>74</v>
      </c>
      <c r="D98" s="68"/>
      <c r="E98" s="69"/>
      <c r="F98" s="68"/>
      <c r="G98" s="68"/>
      <c r="H98" s="68"/>
    </row>
    <row r="99" spans="1:8" ht="12.75">
      <c r="A99" s="73" t="s">
        <v>319</v>
      </c>
      <c r="B99" s="74">
        <f>0.001*(0.0219*H95+0.0074*G95)</f>
        <v>0</v>
      </c>
      <c r="C99" s="68" t="s">
        <v>74</v>
      </c>
      <c r="D99" s="68"/>
      <c r="E99" s="68"/>
      <c r="F99" s="68"/>
      <c r="G99" s="68"/>
      <c r="H99" s="68"/>
    </row>
    <row r="100" ht="12.75"/>
    <row r="101" ht="12.75">
      <c r="A101" s="20"/>
    </row>
    <row r="102" ht="12.75">
      <c r="A102" s="55" t="str">
        <f>A1</f>
        <v>Variant V</v>
      </c>
    </row>
    <row r="103" ht="12.75">
      <c r="A103" s="55" t="str">
        <f>A11</f>
        <v>M7 opp. wateremissies</v>
      </c>
    </row>
    <row r="104" spans="1:12" s="19" customFormat="1" ht="51">
      <c r="A104" s="170" t="str">
        <f>A41</f>
        <v>Verontreinigende stof</v>
      </c>
      <c r="B104" s="132" t="s">
        <v>394</v>
      </c>
      <c r="C104" s="132" t="s">
        <v>39</v>
      </c>
      <c r="D104" s="132" t="s">
        <v>24</v>
      </c>
      <c r="E104" s="132" t="s">
        <v>361</v>
      </c>
      <c r="J104" s="78"/>
      <c r="K104" s="78"/>
      <c r="L104" s="78"/>
    </row>
    <row r="105" spans="1:10" ht="12.75">
      <c r="A105" s="171"/>
      <c r="B105" s="205">
        <f>IF(INDEX(Normen!$A$12:$I$128,J105,9)&lt;&gt;"NB",0.5*(INDEX(Normen!$A$12:$I$128,J105,8)+INDEX(Normen!$A$12:$I$128,J105,9)),"NB")</f>
        <v>0</v>
      </c>
      <c r="C105" s="38"/>
      <c r="D105" s="38"/>
      <c r="E105" s="68">
        <f>IF(AND(B105&lt;&gt;"NB",B105&gt;0,C105&gt;INDEX(Normen!$A$12:$I$128,J105,8)),(C105)*D105/B105,0)</f>
        <v>0</v>
      </c>
      <c r="J105" s="242">
        <v>1</v>
      </c>
    </row>
    <row r="106" spans="1:10" ht="12.75">
      <c r="A106" s="171"/>
      <c r="B106" s="205">
        <f>IF(INDEX(Normen!$A$12:$I$128,J106,9)&lt;&gt;"NB",0.5*(INDEX(Normen!$A$12:$I$128,J106,8)+INDEX(Normen!$A$12:$I$128,J106,9)),"NB")</f>
        <v>0</v>
      </c>
      <c r="C106" s="38"/>
      <c r="D106" s="38"/>
      <c r="E106" s="68">
        <f>IF(AND(B106&lt;&gt;"NB",B106&gt;0,C106&gt;INDEX(Normen!$A$12:$I$128,J106,8)),(C106)*D106/B106,0)</f>
        <v>0</v>
      </c>
      <c r="J106" s="242">
        <v>1</v>
      </c>
    </row>
    <row r="107" spans="1:10" ht="12.75">
      <c r="A107" s="171"/>
      <c r="B107" s="205">
        <f>IF(INDEX(Normen!$A$12:$I$128,J107,9)&lt;&gt;"NB",0.5*(INDEX(Normen!$A$12:$I$128,J107,8)+INDEX(Normen!$A$12:$I$128,J107,9)),"NB")</f>
        <v>0</v>
      </c>
      <c r="C107" s="38"/>
      <c r="D107" s="38"/>
      <c r="E107" s="68">
        <f>IF(AND(B107&lt;&gt;"NB",B107&gt;0,C107&gt;INDEX(Normen!$A$12:$I$128,J107,8)),(C107)*D107/B107,0)</f>
        <v>0</v>
      </c>
      <c r="J107" s="242">
        <v>1</v>
      </c>
    </row>
    <row r="108" spans="1:10" ht="12.75">
      <c r="A108" s="171"/>
      <c r="B108" s="205">
        <f>IF(INDEX(Normen!$A$12:$I$128,J108,9)&lt;&gt;"NB",0.5*(INDEX(Normen!$A$12:$I$128,J108,8)+INDEX(Normen!$A$12:$I$128,J108,9)),"NB")</f>
        <v>0</v>
      </c>
      <c r="C108" s="38"/>
      <c r="D108" s="38"/>
      <c r="E108" s="68">
        <f>IF(AND(B108&lt;&gt;"NB",B108&gt;0,C108&gt;INDEX(Normen!$A$12:$I$128,J108,8)),(C108)*D108/B108,0)</f>
        <v>0</v>
      </c>
      <c r="J108" s="242">
        <v>1</v>
      </c>
    </row>
    <row r="109" spans="1:10" ht="12.75">
      <c r="A109" s="171"/>
      <c r="B109" s="205">
        <f>IF(INDEX(Normen!$A$12:$I$128,J109,9)&lt;&gt;"NB",0.5*(INDEX(Normen!$A$12:$I$128,J109,8)+INDEX(Normen!$A$12:$I$128,J109,9)),"NB")</f>
        <v>0</v>
      </c>
      <c r="C109" s="38"/>
      <c r="D109" s="38"/>
      <c r="E109" s="68">
        <f>IF(AND(B109&lt;&gt;"NB",B109&gt;0,C109&gt;INDEX(Normen!$A$12:$I$128,J109,8)),(C109)*D109/B109,0)</f>
        <v>0</v>
      </c>
      <c r="J109" s="242">
        <v>1</v>
      </c>
    </row>
    <row r="110" spans="1:10" ht="12.75">
      <c r="A110" s="171"/>
      <c r="B110" s="205">
        <f>IF(INDEX(Normen!$A$12:$I$128,J110,9)&lt;&gt;"NB",0.5*(INDEX(Normen!$A$12:$I$128,J110,8)+INDEX(Normen!$A$12:$I$128,J110,9)),"NB")</f>
        <v>0</v>
      </c>
      <c r="C110" s="38"/>
      <c r="D110" s="38"/>
      <c r="E110" s="68">
        <f>IF(AND(B110&lt;&gt;"NB",B110&gt;0,C110&gt;INDEX(Normen!$A$12:$I$128,J110,8)),(C110)*D110/B110,0)</f>
        <v>0</v>
      </c>
      <c r="J110" s="242">
        <v>1</v>
      </c>
    </row>
    <row r="111" spans="1:10" ht="12.75">
      <c r="A111" s="171"/>
      <c r="B111" s="205">
        <f>IF(INDEX(Normen!$A$12:$I$128,J111,9)&lt;&gt;"NB",0.5*(INDEX(Normen!$A$12:$I$128,J111,8)+INDEX(Normen!$A$12:$I$128,J111,9)),"NB")</f>
        <v>0</v>
      </c>
      <c r="C111" s="38"/>
      <c r="D111" s="38"/>
      <c r="E111" s="68">
        <f>IF(AND(B111&lt;&gt;"NB",B111&gt;0,C111&gt;INDEX(Normen!$A$12:$I$128,J111,8)),(C111)*D111/B111,0)</f>
        <v>0</v>
      </c>
      <c r="J111" s="242">
        <v>1</v>
      </c>
    </row>
    <row r="112" spans="1:5" ht="12.75">
      <c r="A112" s="171"/>
      <c r="B112" s="205"/>
      <c r="C112" s="38"/>
      <c r="D112" s="38"/>
      <c r="E112" s="68">
        <f>IF(AND(B112&lt;&gt;"NB",B112&gt;0,C112&gt;INDEX(Normen!$A$12:$I$128,J112,8)),(C112)*D112/B112,0)</f>
        <v>0</v>
      </c>
    </row>
    <row r="113" spans="1:5" ht="12.75">
      <c r="A113" s="171"/>
      <c r="B113" s="205"/>
      <c r="C113" s="38"/>
      <c r="D113" s="38"/>
      <c r="E113" s="68">
        <f>IF(AND(B113&lt;&gt;"NB",B113&gt;0,C113&gt;INDEX(Normen!$A$12:$I$128,J113,8)),(C113)*D113/B113,0)</f>
        <v>0</v>
      </c>
    </row>
    <row r="114" spans="1:5" ht="12.75">
      <c r="A114" s="171"/>
      <c r="B114" s="205"/>
      <c r="C114" s="38"/>
      <c r="D114" s="38"/>
      <c r="E114" s="68">
        <f>IF(AND(B114&lt;&gt;"NB",B114&gt;0,C114&gt;INDEX(Normen!$A$12:$I$128,J114,8)),(C114)*D114/B114,0)</f>
        <v>0</v>
      </c>
    </row>
    <row r="115" spans="1:5" ht="12.75">
      <c r="A115" s="171"/>
      <c r="B115" s="205"/>
      <c r="C115" s="38"/>
      <c r="D115" s="38"/>
      <c r="E115" s="68">
        <f>IF(AND(B115&lt;&gt;"NB",B115&gt;0,C115&gt;INDEX(Normen!$A$12:$I$128,J115,8)),(C115)*D115/B115,0)</f>
        <v>0</v>
      </c>
    </row>
    <row r="116" spans="1:5" ht="12.75">
      <c r="A116" s="165"/>
      <c r="B116" s="68"/>
      <c r="C116" s="68"/>
      <c r="D116" s="68"/>
      <c r="E116" s="68"/>
    </row>
    <row r="117" spans="1:5" ht="12.75">
      <c r="A117" s="136" t="str">
        <f>A103</f>
        <v>M7 opp. wateremissies</v>
      </c>
      <c r="B117" s="74">
        <f>SUM(E105:E114)</f>
        <v>0</v>
      </c>
      <c r="C117" s="68"/>
      <c r="D117" s="68"/>
      <c r="E117" s="68"/>
    </row>
    <row r="118" ht="12.75"/>
    <row r="119" ht="12.75">
      <c r="A119" s="20"/>
    </row>
    <row r="120" ht="12.75">
      <c r="A120" s="55" t="str">
        <f>A1</f>
        <v>Variant V</v>
      </c>
    </row>
    <row r="121" ht="12.75">
      <c r="A121" s="55" t="str">
        <f>A12</f>
        <v>M8 afvalvorming</v>
      </c>
    </row>
    <row r="122" spans="1:2" ht="12.75">
      <c r="A122" s="165" t="s">
        <v>75</v>
      </c>
      <c r="B122" s="38"/>
    </row>
    <row r="123" spans="1:2" ht="12.75">
      <c r="A123" s="165" t="s">
        <v>76</v>
      </c>
      <c r="B123" s="38"/>
    </row>
    <row r="124" spans="1:2" ht="12.75">
      <c r="A124" s="165" t="s">
        <v>77</v>
      </c>
      <c r="B124" s="38"/>
    </row>
    <row r="125" spans="1:2" ht="12.75">
      <c r="A125" s="165"/>
      <c r="B125" s="71"/>
    </row>
    <row r="126" spans="1:2" ht="12.75">
      <c r="A126" s="165"/>
      <c r="B126" s="71"/>
    </row>
    <row r="127" spans="1:2" ht="12.75">
      <c r="A127" s="136" t="str">
        <f>A121</f>
        <v>M8 afvalvorming</v>
      </c>
      <c r="B127" s="74">
        <f>SUM(B122:B124)</f>
        <v>0</v>
      </c>
    </row>
    <row r="128" ht="12.75"/>
    <row r="129" ht="12.75">
      <c r="A129" s="20"/>
    </row>
    <row r="130" ht="12.75">
      <c r="A130" s="55" t="str">
        <f>A1</f>
        <v>Variant V</v>
      </c>
    </row>
    <row r="131" ht="12.75">
      <c r="A131" s="55" t="str">
        <f>A13</f>
        <v>M9 ruimtebeslag</v>
      </c>
    </row>
    <row r="132" spans="1:6" ht="12.75">
      <c r="A132" s="169"/>
      <c r="B132" s="168" t="s">
        <v>78</v>
      </c>
      <c r="C132" s="168" t="s">
        <v>79</v>
      </c>
      <c r="D132" s="168" t="s">
        <v>80</v>
      </c>
      <c r="E132" s="168" t="s">
        <v>81</v>
      </c>
      <c r="F132" s="168" t="s">
        <v>82</v>
      </c>
    </row>
    <row r="133" spans="1:6" ht="12.75">
      <c r="A133" s="165" t="s">
        <v>83</v>
      </c>
      <c r="B133" s="38"/>
      <c r="C133" s="38"/>
      <c r="D133" s="38"/>
      <c r="E133" s="38"/>
      <c r="F133" s="38"/>
    </row>
    <row r="134" spans="1:6" ht="12.75">
      <c r="A134" s="165" t="s">
        <v>84</v>
      </c>
      <c r="B134" s="38"/>
      <c r="C134" s="38"/>
      <c r="D134" s="38"/>
      <c r="E134" s="38"/>
      <c r="F134" s="38"/>
    </row>
    <row r="135" spans="1:6" ht="12.75">
      <c r="A135" s="136" t="s">
        <v>85</v>
      </c>
      <c r="B135" s="68">
        <f>B133*B134</f>
        <v>0</v>
      </c>
      <c r="C135" s="68">
        <f>C133*C134</f>
        <v>0</v>
      </c>
      <c r="D135" s="68">
        <f>D133*D134</f>
        <v>0</v>
      </c>
      <c r="E135" s="68">
        <f>E133*E134</f>
        <v>0</v>
      </c>
      <c r="F135" s="68">
        <f>F133*F134</f>
        <v>0</v>
      </c>
    </row>
    <row r="136" spans="1:6" ht="12.75">
      <c r="A136" s="165"/>
      <c r="B136" s="74" t="str">
        <f>IF(B134&gt;30,"Maximaal 30 invullen!!"," ")</f>
        <v> </v>
      </c>
      <c r="C136" s="74" t="str">
        <f>IF(C134&gt;30,"Maximaal 30 invullen!!"," ")</f>
        <v> </v>
      </c>
      <c r="D136" s="74" t="str">
        <f>IF(D134&gt;30,"Maximaal 30 invullen!!"," ")</f>
        <v> </v>
      </c>
      <c r="E136" s="74" t="str">
        <f>IF(E134&gt;30,"Maximaal 30 invullen!!"," ")</f>
        <v> </v>
      </c>
      <c r="F136" s="74" t="str">
        <f>IF(F134&gt;30,"Maximaal 30 invullen!!"," ")</f>
        <v> </v>
      </c>
    </row>
    <row r="137" spans="1:6" ht="12.75">
      <c r="A137" s="136" t="str">
        <f>A131</f>
        <v>M9 ruimtebeslag</v>
      </c>
      <c r="B137" s="74">
        <f>SUM(B135:F135)</f>
        <v>0</v>
      </c>
      <c r="C137" s="68"/>
      <c r="D137" s="68"/>
      <c r="E137" s="68"/>
      <c r="F137" s="68"/>
    </row>
    <row r="138" ht="12.75"/>
    <row r="139" ht="12.75"/>
    <row r="140" ht="12.75">
      <c r="A140" s="55" t="str">
        <f>A1</f>
        <v>Variant V</v>
      </c>
    </row>
    <row r="141" spans="1:14" s="19" customFormat="1" ht="12.75">
      <c r="A141" s="164" t="str">
        <f>A16</f>
        <v>Effectenoverzicht</v>
      </c>
      <c r="B141" s="132" t="s">
        <v>51</v>
      </c>
      <c r="C141" s="132" t="s">
        <v>86</v>
      </c>
      <c r="J141" s="78"/>
      <c r="K141" s="78"/>
      <c r="L141" s="78"/>
      <c r="M141" s="79"/>
      <c r="N141" s="80"/>
    </row>
    <row r="142" spans="1:14" ht="12.75">
      <c r="A142" s="165" t="str">
        <f>A36</f>
        <v>M1 grondkwaliteit</v>
      </c>
      <c r="B142" s="68" t="s">
        <v>360</v>
      </c>
      <c r="C142" s="92">
        <f>B36/1000</f>
        <v>0</v>
      </c>
      <c r="D142" s="51"/>
      <c r="F142" s="81"/>
      <c r="M142" s="82"/>
      <c r="N142" s="83"/>
    </row>
    <row r="143" spans="1:14" ht="12.75">
      <c r="A143" s="165" t="str">
        <f>A54</f>
        <v>M2 grondwaterkwaliteit</v>
      </c>
      <c r="B143" s="68" t="s">
        <v>360</v>
      </c>
      <c r="C143" s="92">
        <f>B54/1000</f>
        <v>0</v>
      </c>
      <c r="D143" s="51"/>
      <c r="F143" s="81"/>
      <c r="M143" s="82"/>
      <c r="N143" s="83"/>
    </row>
    <row r="144" spans="1:14" ht="14.25">
      <c r="A144" s="165" t="str">
        <f>A62</f>
        <v>M3 verlies grond</v>
      </c>
      <c r="B144" s="68" t="s">
        <v>87</v>
      </c>
      <c r="C144" s="92">
        <f>(-B62)</f>
        <v>0</v>
      </c>
      <c r="E144" s="51"/>
      <c r="F144" s="81"/>
      <c r="M144" s="82"/>
      <c r="N144" s="83"/>
    </row>
    <row r="145" spans="1:14" ht="14.25">
      <c r="A145" s="165" t="str">
        <f>A70</f>
        <v>M4 verlies grondwater</v>
      </c>
      <c r="B145" s="68" t="s">
        <v>88</v>
      </c>
      <c r="C145" s="92">
        <f>-B70/1000</f>
        <v>0</v>
      </c>
      <c r="E145" s="51"/>
      <c r="F145" s="81"/>
      <c r="M145" s="82"/>
      <c r="N145" s="83"/>
    </row>
    <row r="146" spans="1:14" ht="12.75">
      <c r="A146" s="165" t="str">
        <f>A98</f>
        <v>M5 energiegebruik</v>
      </c>
      <c r="B146" s="68" t="str">
        <f>C98</f>
        <v>inw.eq</v>
      </c>
      <c r="C146" s="69">
        <f>-B98</f>
        <v>0</v>
      </c>
      <c r="E146" s="51"/>
      <c r="F146" s="81"/>
      <c r="M146" s="82"/>
      <c r="N146" s="83"/>
    </row>
    <row r="147" spans="1:14" ht="12.75">
      <c r="A147" s="165" t="str">
        <f>A99</f>
        <v>M6 luchtemissies</v>
      </c>
      <c r="B147" s="68" t="s">
        <v>74</v>
      </c>
      <c r="C147" s="69">
        <f>-B99</f>
        <v>0</v>
      </c>
      <c r="E147" s="51"/>
      <c r="F147" s="81"/>
      <c r="M147" s="82"/>
      <c r="N147" s="83"/>
    </row>
    <row r="148" spans="1:14" ht="12.75">
      <c r="A148" s="165" t="str">
        <f>A117</f>
        <v>M7 opp. wateremissies</v>
      </c>
      <c r="B148" s="68" t="s">
        <v>360</v>
      </c>
      <c r="C148" s="69">
        <f>-B117/1000</f>
        <v>0</v>
      </c>
      <c r="E148" s="51"/>
      <c r="F148" s="81"/>
      <c r="M148" s="82"/>
      <c r="N148" s="83"/>
    </row>
    <row r="149" spans="1:14" ht="14.25">
      <c r="A149" s="165" t="str">
        <f>A127</f>
        <v>M8 afvalvorming</v>
      </c>
      <c r="B149" s="68" t="s">
        <v>87</v>
      </c>
      <c r="C149" s="69">
        <f>-B127</f>
        <v>0</v>
      </c>
      <c r="E149" s="51"/>
      <c r="F149" s="81"/>
      <c r="M149" s="82"/>
      <c r="N149" s="83"/>
    </row>
    <row r="150" spans="1:14" ht="14.25">
      <c r="A150" s="165" t="str">
        <f>A137</f>
        <v>M9 ruimtebeslag</v>
      </c>
      <c r="B150" s="68" t="s">
        <v>89</v>
      </c>
      <c r="C150" s="69">
        <f>-B137</f>
        <v>0</v>
      </c>
      <c r="E150" s="51"/>
      <c r="F150" s="81"/>
      <c r="M150" s="82"/>
      <c r="N150" s="83"/>
    </row>
    <row r="151" ht="12.75">
      <c r="A151" s="58"/>
    </row>
    <row r="154" ht="12.75"/>
    <row r="155" ht="12.75"/>
    <row r="156" ht="12.75"/>
  </sheetData>
  <sheetProtection sheet="1" scenarios="1"/>
  <printOptions/>
  <pageMargins left="0.5905511811023623" right="0.5905511811023623" top="0.984251968503937" bottom="0.984251968503937" header="0.5118110236220472" footer="0.5118110236220472"/>
  <pageSetup fitToHeight="3" fitToWidth="1" horizontalDpi="300" verticalDpi="300" orientation="portrait" paperSize="9" scale="94" r:id="rId3"/>
  <headerFooter alignWithMargins="0">
    <oddHeader>&amp;C&amp;F</oddHeader>
    <oddFooter>&amp;CMilieuverdienste in RMK</oddFooter>
  </headerFooter>
  <legacyDrawing r:id="rId2"/>
</worksheet>
</file>

<file path=xl/worksheets/sheet9.xml><?xml version="1.0" encoding="utf-8"?>
<worksheet xmlns="http://schemas.openxmlformats.org/spreadsheetml/2006/main" xmlns:r="http://schemas.openxmlformats.org/officeDocument/2006/relationships">
  <sheetPr codeName="Sheet14">
    <pageSetUpPr fitToPage="1"/>
  </sheetPr>
  <dimension ref="A1:N151"/>
  <sheetViews>
    <sheetView showGridLines="0" zoomScale="90" zoomScaleNormal="90" workbookViewId="0" topLeftCell="A1">
      <selection activeCell="A2" sqref="A2"/>
    </sheetView>
  </sheetViews>
  <sheetFormatPr defaultColWidth="9.140625" defaultRowHeight="12.75"/>
  <cols>
    <col min="1" max="1" width="27.7109375" style="56" customWidth="1"/>
    <col min="2" max="2" width="10.28125" style="20" customWidth="1"/>
    <col min="3" max="3" width="9.421875" style="20" customWidth="1"/>
    <col min="4" max="4" width="11.7109375" style="20" customWidth="1"/>
    <col min="5" max="5" width="8.00390625" style="20" customWidth="1"/>
    <col min="6" max="6" width="9.421875" style="20" customWidth="1"/>
    <col min="7" max="7" width="10.140625" style="20" customWidth="1"/>
    <col min="8" max="8" width="10.8515625" style="20" customWidth="1"/>
    <col min="9" max="9" width="0" style="20" hidden="1" customWidth="1"/>
    <col min="10" max="10" width="6.28125" style="52" hidden="1" customWidth="1"/>
    <col min="11" max="12" width="5.140625" style="52" hidden="1" customWidth="1"/>
    <col min="13" max="15" width="8.8515625" style="20" customWidth="1"/>
    <col min="16" max="16" width="13.421875" style="20" customWidth="1"/>
    <col min="17" max="17" width="10.57421875" style="20" customWidth="1"/>
    <col min="18" max="16384" width="8.8515625" style="20" customWidth="1"/>
  </cols>
  <sheetData>
    <row r="1" spans="1:2" ht="18">
      <c r="A1" s="75" t="str">
        <f>Inhoud!E16</f>
        <v>Variant VI</v>
      </c>
      <c r="B1" s="100" t="s">
        <v>41</v>
      </c>
    </row>
    <row r="2" ht="12.75"/>
    <row r="3" ht="12.75">
      <c r="A3" s="62" t="str">
        <f>Huidig!A3</f>
        <v>Terug naar inhoud:</v>
      </c>
    </row>
    <row r="4" ht="12.75">
      <c r="A4" s="55" t="s">
        <v>42</v>
      </c>
    </row>
    <row r="5" ht="12.75">
      <c r="A5" s="55" t="s">
        <v>20</v>
      </c>
    </row>
    <row r="6" ht="12.75">
      <c r="A6" s="56" t="s">
        <v>320</v>
      </c>
    </row>
    <row r="7" ht="12.75">
      <c r="A7" s="56" t="s">
        <v>321</v>
      </c>
    </row>
    <row r="8" ht="12.75">
      <c r="A8" s="56" t="s">
        <v>322</v>
      </c>
    </row>
    <row r="9" ht="12.75">
      <c r="A9" s="56" t="s">
        <v>323</v>
      </c>
    </row>
    <row r="10" ht="12.75">
      <c r="A10" s="56" t="s">
        <v>382</v>
      </c>
    </row>
    <row r="11" ht="12.75">
      <c r="A11" s="56" t="s">
        <v>316</v>
      </c>
    </row>
    <row r="12" ht="12.75">
      <c r="A12" s="56" t="s">
        <v>406</v>
      </c>
    </row>
    <row r="13" ht="12.75">
      <c r="A13" s="56" t="s">
        <v>317</v>
      </c>
    </row>
    <row r="14" ht="12.75"/>
    <row r="15" ht="12.75">
      <c r="A15" s="55" t="s">
        <v>296</v>
      </c>
    </row>
    <row r="16" ht="12.75">
      <c r="A16" s="56" t="s">
        <v>277</v>
      </c>
    </row>
    <row r="17" ht="12.75"/>
    <row r="18" ht="12.75"/>
    <row r="19" spans="1:12" s="176" customFormat="1" ht="12.75">
      <c r="A19" s="175"/>
      <c r="J19" s="177"/>
      <c r="K19" s="177"/>
      <c r="L19" s="177"/>
    </row>
    <row r="20" spans="1:12" s="76" customFormat="1" ht="12.75">
      <c r="A20" s="166"/>
      <c r="J20" s="167"/>
      <c r="K20" s="167"/>
      <c r="L20" s="167"/>
    </row>
    <row r="21" ht="12.75">
      <c r="A21" s="55" t="str">
        <f>A1</f>
        <v>Variant VI</v>
      </c>
    </row>
    <row r="22" ht="12.75">
      <c r="A22" s="55" t="str">
        <f>A6</f>
        <v>M1 grondkwaliteit</v>
      </c>
    </row>
    <row r="23" spans="1:12" s="19" customFormat="1" ht="24" customHeight="1">
      <c r="A23" s="170" t="str">
        <f>Huidig!A24</f>
        <v>Verontreinigende stof</v>
      </c>
      <c r="B23" s="132" t="str">
        <f>Huidig!B24</f>
        <v>s' [mg/kg]</v>
      </c>
      <c r="C23" s="132" t="str">
        <f>Huidig!C24</f>
        <v>i' [mg/kg]</v>
      </c>
      <c r="D23" s="132" t="s">
        <v>418</v>
      </c>
      <c r="E23" s="132" t="str">
        <f>Huidig!G24</f>
        <v>lut. [%]</v>
      </c>
      <c r="F23" s="132" t="s">
        <v>43</v>
      </c>
      <c r="G23" s="132" t="str">
        <f>Huidig!I24</f>
        <v>Grond- kubels [m3]</v>
      </c>
      <c r="H23" s="132" t="s">
        <v>329</v>
      </c>
      <c r="J23" s="131" t="str">
        <f>Huidig!L24</f>
        <v>s</v>
      </c>
      <c r="K23" s="131" t="str">
        <f>Huidig!M24</f>
        <v>i</v>
      </c>
      <c r="L23" s="131" t="str">
        <f>Huidig!N24</f>
        <v>t'</v>
      </c>
    </row>
    <row r="24" spans="1:12" ht="12.75">
      <c r="A24" s="165">
        <f>IF(Huidig!$O25&gt;1,INDEX(Normen!$A$12:$C$128,Huidig!$O25,1),"")</f>
      </c>
      <c r="B24" s="69">
        <f aca="true" t="shared" si="0" ref="B24:B34">J24</f>
        <v>0</v>
      </c>
      <c r="C24" s="69">
        <f aca="true" t="shared" si="1" ref="C24:C34">K24</f>
        <v>0</v>
      </c>
      <c r="D24" s="38">
        <f>30*Huidig!D25</f>
        <v>0</v>
      </c>
      <c r="E24" s="68">
        <f>Huidig!G25</f>
        <v>25</v>
      </c>
      <c r="F24" s="68">
        <f>Huidig!S25</f>
        <v>10</v>
      </c>
      <c r="G24" s="71">
        <f>IF(D24&gt;0,1000000*D24/(30*L24),0)</f>
        <v>0</v>
      </c>
      <c r="H24" s="71">
        <f>Huidig!J25-0.0000017*D24/30</f>
        <v>0</v>
      </c>
      <c r="J24" s="77">
        <f>Huidig!B25</f>
        <v>0</v>
      </c>
      <c r="K24" s="77">
        <f>Huidig!C25</f>
        <v>0</v>
      </c>
      <c r="L24" s="77">
        <f>Huidig!N25</f>
        <v>0</v>
      </c>
    </row>
    <row r="25" spans="1:12" ht="12.75">
      <c r="A25" s="165">
        <f>IF(Huidig!$O26&gt;1,INDEX(Normen!$A$12:$C$128,Huidig!$O26,1),"")</f>
      </c>
      <c r="B25" s="69">
        <f t="shared" si="0"/>
        <v>0</v>
      </c>
      <c r="C25" s="69">
        <f t="shared" si="1"/>
        <v>0</v>
      </c>
      <c r="D25" s="38">
        <f>30*Huidig!D26</f>
        <v>0</v>
      </c>
      <c r="E25" s="68">
        <f>Huidig!G26</f>
        <v>25</v>
      </c>
      <c r="F25" s="68">
        <f>Huidig!S26</f>
        <v>10</v>
      </c>
      <c r="G25" s="71">
        <f aca="true" t="shared" si="2" ref="G25:G34">IF(D25&gt;0,1000000*D25/(30*L25),0)</f>
        <v>0</v>
      </c>
      <c r="H25" s="71">
        <f>Huidig!J26-0.0000017*D25/30</f>
        <v>0</v>
      </c>
      <c r="J25" s="77">
        <f>Huidig!B26</f>
        <v>0</v>
      </c>
      <c r="K25" s="77">
        <f>Huidig!C26</f>
        <v>0</v>
      </c>
      <c r="L25" s="77">
        <f>Huidig!N26</f>
        <v>0</v>
      </c>
    </row>
    <row r="26" spans="1:12" ht="12.75">
      <c r="A26" s="165">
        <f>IF(Huidig!$O27&gt;1,INDEX(Normen!$A$12:$C$128,Huidig!$O27,1),"")</f>
      </c>
      <c r="B26" s="69">
        <f t="shared" si="0"/>
        <v>0</v>
      </c>
      <c r="C26" s="69">
        <f t="shared" si="1"/>
        <v>0</v>
      </c>
      <c r="D26" s="38">
        <f>30*Huidig!D27</f>
        <v>0</v>
      </c>
      <c r="E26" s="68">
        <f>Huidig!G27</f>
        <v>25</v>
      </c>
      <c r="F26" s="68">
        <f>Huidig!S27</f>
        <v>10</v>
      </c>
      <c r="G26" s="71">
        <f t="shared" si="2"/>
        <v>0</v>
      </c>
      <c r="H26" s="71">
        <f>Huidig!J27-0.0000017*D26/30</f>
        <v>0</v>
      </c>
      <c r="J26" s="77">
        <f>Huidig!B27</f>
        <v>0</v>
      </c>
      <c r="K26" s="77">
        <f>Huidig!C27</f>
        <v>0</v>
      </c>
      <c r="L26" s="77">
        <f>Huidig!N27</f>
        <v>0</v>
      </c>
    </row>
    <row r="27" spans="1:12" ht="12.75">
      <c r="A27" s="165">
        <f>IF(Huidig!$O28&gt;1,INDEX(Normen!$A$12:$C$128,Huidig!$O28,1),"")</f>
      </c>
      <c r="B27" s="69">
        <f t="shared" si="0"/>
        <v>0</v>
      </c>
      <c r="C27" s="69">
        <f t="shared" si="1"/>
        <v>0</v>
      </c>
      <c r="D27" s="38">
        <f>30*Huidig!D28</f>
        <v>0</v>
      </c>
      <c r="E27" s="68">
        <f>Huidig!G28</f>
        <v>25</v>
      </c>
      <c r="F27" s="68">
        <f>Huidig!S28</f>
        <v>10</v>
      </c>
      <c r="G27" s="71">
        <f t="shared" si="2"/>
        <v>0</v>
      </c>
      <c r="H27" s="71">
        <f>Huidig!J28-0.0000017*D27/30</f>
        <v>0</v>
      </c>
      <c r="J27" s="77">
        <f>Huidig!B28</f>
        <v>0</v>
      </c>
      <c r="K27" s="77">
        <f>Huidig!C28</f>
        <v>0</v>
      </c>
      <c r="L27" s="77">
        <f>Huidig!N28</f>
        <v>0</v>
      </c>
    </row>
    <row r="28" spans="1:12" ht="12.75">
      <c r="A28" s="165">
        <f>IF(Huidig!$O29&gt;1,INDEX(Normen!$A$12:$C$128,Huidig!$O29,1),"")</f>
      </c>
      <c r="B28" s="69">
        <f t="shared" si="0"/>
        <v>0</v>
      </c>
      <c r="C28" s="69">
        <f t="shared" si="1"/>
        <v>0</v>
      </c>
      <c r="D28" s="38">
        <f>30*Huidig!D29</f>
        <v>0</v>
      </c>
      <c r="E28" s="68">
        <f>Huidig!G29</f>
        <v>25</v>
      </c>
      <c r="F28" s="68">
        <f>Huidig!S29</f>
        <v>10</v>
      </c>
      <c r="G28" s="71">
        <f t="shared" si="2"/>
        <v>0</v>
      </c>
      <c r="H28" s="71">
        <f>Huidig!J29-0.0000017*D28/30</f>
        <v>0</v>
      </c>
      <c r="J28" s="77">
        <f>Huidig!B29</f>
        <v>0</v>
      </c>
      <c r="K28" s="77">
        <f>Huidig!C29</f>
        <v>0</v>
      </c>
      <c r="L28" s="77">
        <f>Huidig!N29</f>
        <v>0</v>
      </c>
    </row>
    <row r="29" spans="1:12" ht="12.75">
      <c r="A29" s="165">
        <f>IF(Huidig!$O30&gt;1,INDEX(Normen!$A$12:$C$128,Huidig!$O30,1),"")</f>
      </c>
      <c r="B29" s="69">
        <f t="shared" si="0"/>
        <v>0</v>
      </c>
      <c r="C29" s="69">
        <f t="shared" si="1"/>
        <v>0</v>
      </c>
      <c r="D29" s="38">
        <f>30*Huidig!D30</f>
        <v>0</v>
      </c>
      <c r="E29" s="68">
        <f>Huidig!G30</f>
        <v>25</v>
      </c>
      <c r="F29" s="68">
        <f>Huidig!S30</f>
        <v>10</v>
      </c>
      <c r="G29" s="71">
        <f t="shared" si="2"/>
        <v>0</v>
      </c>
      <c r="H29" s="71">
        <f>Huidig!J30-0.0000017*D29/30</f>
        <v>0</v>
      </c>
      <c r="J29" s="77">
        <f>Huidig!B30</f>
        <v>0</v>
      </c>
      <c r="K29" s="77">
        <f>Huidig!C30</f>
        <v>0</v>
      </c>
      <c r="L29" s="77">
        <f>Huidig!N30</f>
        <v>0</v>
      </c>
    </row>
    <row r="30" spans="1:12" ht="12.75">
      <c r="A30" s="165">
        <f>IF(Huidig!$O31&gt;1,INDEX(Normen!$A$12:$C$128,Huidig!$O31,1),"")</f>
      </c>
      <c r="B30" s="69">
        <f t="shared" si="0"/>
        <v>0</v>
      </c>
      <c r="C30" s="69">
        <f t="shared" si="1"/>
        <v>0</v>
      </c>
      <c r="D30" s="38">
        <f>30*Huidig!D31</f>
        <v>0</v>
      </c>
      <c r="E30" s="68">
        <f>Huidig!G31</f>
        <v>25</v>
      </c>
      <c r="F30" s="68">
        <f>Huidig!S31</f>
        <v>10</v>
      </c>
      <c r="G30" s="71">
        <f t="shared" si="2"/>
        <v>0</v>
      </c>
      <c r="H30" s="71">
        <f>Huidig!J31-0.0000017*D30/30</f>
        <v>0</v>
      </c>
      <c r="J30" s="77">
        <f>Huidig!B31</f>
        <v>0</v>
      </c>
      <c r="K30" s="77">
        <f>Huidig!C31</f>
        <v>0</v>
      </c>
      <c r="L30" s="77">
        <f>Huidig!N31</f>
        <v>0</v>
      </c>
    </row>
    <row r="31" spans="1:12" ht="12.75">
      <c r="A31" s="165">
        <f>IF(Huidig!$O32&gt;1,INDEX(Normen!$A$12:$C$128,Huidig!$O32,1),"")</f>
      </c>
      <c r="B31" s="69">
        <f t="shared" si="0"/>
        <v>0</v>
      </c>
      <c r="C31" s="69">
        <f t="shared" si="1"/>
        <v>0</v>
      </c>
      <c r="D31" s="38">
        <f>30*Huidig!D32</f>
        <v>0</v>
      </c>
      <c r="E31" s="68">
        <f>Huidig!G32</f>
        <v>25</v>
      </c>
      <c r="F31" s="68">
        <f>Huidig!S32</f>
        <v>10</v>
      </c>
      <c r="G31" s="71">
        <f t="shared" si="2"/>
        <v>0</v>
      </c>
      <c r="H31" s="71">
        <f>Huidig!J32-0.0000017*D31/30</f>
        <v>0</v>
      </c>
      <c r="J31" s="77">
        <f>Huidig!B32</f>
        <v>0</v>
      </c>
      <c r="K31" s="77">
        <f>Huidig!C32</f>
        <v>0</v>
      </c>
      <c r="L31" s="77">
        <f>Huidig!N32</f>
        <v>0</v>
      </c>
    </row>
    <row r="32" spans="1:12" ht="12.75">
      <c r="A32" s="165">
        <f>IF(Huidig!A33="Type een verontreiniging:","",Huidig!A33)</f>
      </c>
      <c r="B32" s="69">
        <f t="shared" si="0"/>
        <v>0</v>
      </c>
      <c r="C32" s="69">
        <f t="shared" si="1"/>
        <v>0</v>
      </c>
      <c r="D32" s="38">
        <f>30*Huidig!D33</f>
        <v>0</v>
      </c>
      <c r="E32" s="68"/>
      <c r="F32" s="68"/>
      <c r="G32" s="71">
        <f t="shared" si="2"/>
        <v>0</v>
      </c>
      <c r="H32" s="71">
        <f>Huidig!J33-0.0000017*D32/30</f>
        <v>0</v>
      </c>
      <c r="J32" s="77">
        <f>Huidig!B33</f>
        <v>0</v>
      </c>
      <c r="K32" s="77">
        <f>Huidig!C33</f>
        <v>0</v>
      </c>
      <c r="L32" s="77">
        <f>Huidig!N33</f>
        <v>0</v>
      </c>
    </row>
    <row r="33" spans="1:12" ht="12.75">
      <c r="A33" s="165">
        <f>IF(Huidig!A34="Type een verontreiniging:","",Huidig!A34)</f>
      </c>
      <c r="B33" s="69">
        <f t="shared" si="0"/>
        <v>0</v>
      </c>
      <c r="C33" s="69">
        <f t="shared" si="1"/>
        <v>0</v>
      </c>
      <c r="D33" s="38">
        <f>30*Huidig!D34</f>
        <v>0</v>
      </c>
      <c r="E33" s="68"/>
      <c r="F33" s="68"/>
      <c r="G33" s="71">
        <f t="shared" si="2"/>
        <v>0</v>
      </c>
      <c r="H33" s="71">
        <f>Huidig!J34-0.0000017*D33/30</f>
        <v>0</v>
      </c>
      <c r="J33" s="77">
        <f>Huidig!B34</f>
        <v>0</v>
      </c>
      <c r="K33" s="77">
        <f>Huidig!C34</f>
        <v>0</v>
      </c>
      <c r="L33" s="77">
        <f>Huidig!N34</f>
        <v>0</v>
      </c>
    </row>
    <row r="34" spans="1:12" ht="12.75">
      <c r="A34" s="165">
        <f>IF(Huidig!A35="Type een verontreiniging:","",Huidig!A35)</f>
      </c>
      <c r="B34" s="69">
        <f t="shared" si="0"/>
        <v>0</v>
      </c>
      <c r="C34" s="69">
        <f t="shared" si="1"/>
        <v>0</v>
      </c>
      <c r="D34" s="38">
        <f>30*Huidig!D35</f>
        <v>0</v>
      </c>
      <c r="E34" s="68"/>
      <c r="F34" s="68"/>
      <c r="G34" s="71">
        <f t="shared" si="2"/>
        <v>0</v>
      </c>
      <c r="H34" s="71">
        <f>Huidig!J35-0.0000017*D34/30</f>
        <v>0</v>
      </c>
      <c r="J34" s="77">
        <f>Huidig!B35</f>
        <v>0</v>
      </c>
      <c r="K34" s="77">
        <f>Huidig!C35</f>
        <v>0</v>
      </c>
      <c r="L34" s="77">
        <f>Huidig!N35</f>
        <v>0</v>
      </c>
    </row>
    <row r="35" spans="1:12" ht="12.75">
      <c r="A35" s="136" t="s">
        <v>36</v>
      </c>
      <c r="B35" s="68"/>
      <c r="C35" s="68"/>
      <c r="D35" s="68"/>
      <c r="E35" s="68"/>
      <c r="F35" s="68"/>
      <c r="G35" s="84">
        <f>SUM(G24:G34)</f>
        <v>0</v>
      </c>
      <c r="H35" s="68"/>
      <c r="J35" s="77"/>
      <c r="K35" s="77"/>
      <c r="L35" s="77"/>
    </row>
    <row r="36" spans="1:12" ht="12.75">
      <c r="A36" s="136" t="str">
        <f>A22</f>
        <v>M1 grondkwaliteit</v>
      </c>
      <c r="B36" s="74">
        <f>Huidig!I36-VI!G35</f>
        <v>0</v>
      </c>
      <c r="C36" s="68"/>
      <c r="D36" s="68"/>
      <c r="E36" s="68"/>
      <c r="F36" s="68"/>
      <c r="G36" s="68"/>
      <c r="H36" s="68"/>
      <c r="J36" s="77"/>
      <c r="K36" s="77"/>
      <c r="L36" s="77"/>
    </row>
    <row r="37" spans="10:12" ht="12.75">
      <c r="J37" s="77"/>
      <c r="K37" s="77"/>
      <c r="L37" s="77"/>
    </row>
    <row r="38" spans="1:12" ht="12.75">
      <c r="A38" s="20"/>
      <c r="J38" s="77"/>
      <c r="K38" s="77"/>
      <c r="L38" s="77"/>
    </row>
    <row r="39" spans="1:12" ht="12.75">
      <c r="A39" s="55" t="str">
        <f>A1</f>
        <v>Variant VI</v>
      </c>
      <c r="J39" s="77"/>
      <c r="K39" s="77"/>
      <c r="L39" s="77"/>
    </row>
    <row r="40" spans="1:12" ht="12.75">
      <c r="A40" s="55" t="str">
        <f>A7</f>
        <v>M2 grondwaterkwaliteit</v>
      </c>
      <c r="J40" s="77"/>
      <c r="K40" s="77"/>
      <c r="L40" s="77"/>
    </row>
    <row r="41" spans="1:12" s="19" customFormat="1" ht="38.25" customHeight="1">
      <c r="A41" s="170" t="str">
        <f>Huidig!A42</f>
        <v>Verontreinigende stof</v>
      </c>
      <c r="B41" s="132" t="str">
        <f>Huidig!B42</f>
        <v>s [ug/l]</v>
      </c>
      <c r="C41" s="132" t="str">
        <f>Huidig!C42</f>
        <v>i [ug/l]</v>
      </c>
      <c r="D41" s="132" t="s">
        <v>418</v>
      </c>
      <c r="E41" s="132" t="str">
        <f>Huidig!I42</f>
        <v>Water-kubels [m3]</v>
      </c>
      <c r="J41" s="133" t="str">
        <f>Huidig!M42</f>
        <v>t</v>
      </c>
      <c r="K41" s="134"/>
      <c r="L41" s="78"/>
    </row>
    <row r="42" spans="1:11" ht="12.75">
      <c r="A42" s="165">
        <f>IF(Huidig!$P43&gt;1,INDEX(Normen!$A$12:$C$128,Huidig!$P43,1),"")</f>
      </c>
      <c r="B42" s="68">
        <f>Huidig!B43</f>
        <v>0</v>
      </c>
      <c r="C42" s="68">
        <f>Huidig!C43</f>
        <v>0</v>
      </c>
      <c r="D42" s="38">
        <f>30*Huidig!D43</f>
        <v>0</v>
      </c>
      <c r="E42" s="68">
        <f>IF(D42&gt;0,1000000000*D42/(30*J42),0)</f>
        <v>0</v>
      </c>
      <c r="F42" s="61"/>
      <c r="J42" s="77">
        <f aca="true" t="shared" si="3" ref="J42:J52">0.5*(B42+C42)</f>
        <v>0</v>
      </c>
      <c r="K42" s="77"/>
    </row>
    <row r="43" spans="1:11" ht="12.75">
      <c r="A43" s="165">
        <f>IF(Huidig!$P44&gt;1,INDEX(Normen!$A$12:$C$128,Huidig!$P44,1),"")</f>
      </c>
      <c r="B43" s="68">
        <f>Huidig!B44</f>
        <v>0</v>
      </c>
      <c r="C43" s="68">
        <f>Huidig!C44</f>
        <v>0</v>
      </c>
      <c r="D43" s="38">
        <f>30*Huidig!D44</f>
        <v>0</v>
      </c>
      <c r="E43" s="68">
        <f aca="true" t="shared" si="4" ref="E43:E52">IF(D43&gt;0,1000000000*D43/(30*J43),0)</f>
        <v>0</v>
      </c>
      <c r="F43" s="61"/>
      <c r="J43" s="77">
        <f t="shared" si="3"/>
        <v>0</v>
      </c>
      <c r="K43" s="77"/>
    </row>
    <row r="44" spans="1:11" ht="12.75">
      <c r="A44" s="165">
        <f>IF(Huidig!$P45&gt;1,INDEX(Normen!$A$12:$C$128,Huidig!$P45,1),"")</f>
      </c>
      <c r="B44" s="68">
        <f>Huidig!B45</f>
        <v>0</v>
      </c>
      <c r="C44" s="68">
        <f>Huidig!C45</f>
        <v>0</v>
      </c>
      <c r="D44" s="38">
        <f>30*Huidig!D45</f>
        <v>0</v>
      </c>
      <c r="E44" s="68">
        <f t="shared" si="4"/>
        <v>0</v>
      </c>
      <c r="F44" s="61"/>
      <c r="J44" s="77">
        <f t="shared" si="3"/>
        <v>0</v>
      </c>
      <c r="K44" s="77"/>
    </row>
    <row r="45" spans="1:11" ht="12.75">
      <c r="A45" s="165">
        <f>IF(Huidig!$P46&gt;1,INDEX(Normen!$A$12:$C$128,Huidig!$P46,1),"")</f>
      </c>
      <c r="B45" s="68">
        <f>Huidig!B46</f>
        <v>0</v>
      </c>
      <c r="C45" s="68">
        <f>Huidig!C46</f>
        <v>0</v>
      </c>
      <c r="D45" s="38">
        <f>30*Huidig!D46</f>
        <v>0</v>
      </c>
      <c r="E45" s="68">
        <f t="shared" si="4"/>
        <v>0</v>
      </c>
      <c r="F45" s="61"/>
      <c r="J45" s="77">
        <f t="shared" si="3"/>
        <v>0</v>
      </c>
      <c r="K45" s="77"/>
    </row>
    <row r="46" spans="1:11" ht="12.75">
      <c r="A46" s="165">
        <f>IF(Huidig!$P47&gt;1,INDEX(Normen!$A$12:$C$128,Huidig!$P47,1),"")</f>
      </c>
      <c r="B46" s="68">
        <f>Huidig!B47</f>
        <v>0</v>
      </c>
      <c r="C46" s="68">
        <f>Huidig!C47</f>
        <v>0</v>
      </c>
      <c r="D46" s="38">
        <f>30*Huidig!D47</f>
        <v>0</v>
      </c>
      <c r="E46" s="68">
        <f t="shared" si="4"/>
        <v>0</v>
      </c>
      <c r="F46" s="61"/>
      <c r="J46" s="77">
        <f t="shared" si="3"/>
        <v>0</v>
      </c>
      <c r="K46" s="77"/>
    </row>
    <row r="47" spans="1:11" ht="12.75">
      <c r="A47" s="165">
        <f>IF(Huidig!$P48&gt;1,INDEX(Normen!$A$12:$C$128,Huidig!$P48,1),"")</f>
      </c>
      <c r="B47" s="68">
        <f>Huidig!B48</f>
        <v>0</v>
      </c>
      <c r="C47" s="68">
        <f>Huidig!C48</f>
        <v>0</v>
      </c>
      <c r="D47" s="38">
        <f>30*Huidig!D48</f>
        <v>0</v>
      </c>
      <c r="E47" s="68">
        <f t="shared" si="4"/>
        <v>0</v>
      </c>
      <c r="F47" s="61"/>
      <c r="J47" s="77">
        <f t="shared" si="3"/>
        <v>0</v>
      </c>
      <c r="K47" s="77"/>
    </row>
    <row r="48" spans="1:11" ht="12.75">
      <c r="A48" s="165">
        <f>IF(Huidig!$P49&gt;1,INDEX(Normen!$A$12:$C$128,Huidig!$P49,1),"")</f>
      </c>
      <c r="B48" s="68">
        <f>Huidig!B49</f>
        <v>0</v>
      </c>
      <c r="C48" s="68">
        <f>Huidig!C49</f>
        <v>0</v>
      </c>
      <c r="D48" s="38">
        <f>30*Huidig!D49</f>
        <v>0</v>
      </c>
      <c r="E48" s="68">
        <f t="shared" si="4"/>
        <v>0</v>
      </c>
      <c r="F48" s="61"/>
      <c r="J48" s="77">
        <f t="shared" si="3"/>
        <v>0</v>
      </c>
      <c r="K48" s="77"/>
    </row>
    <row r="49" spans="1:11" ht="12.75">
      <c r="A49" s="165">
        <f>IF(Huidig!$P50&gt;1,INDEX(Normen!$A$12:$C$128,Huidig!$P50,1),"")</f>
      </c>
      <c r="B49" s="68">
        <f>Huidig!B50</f>
        <v>0</v>
      </c>
      <c r="C49" s="68">
        <f>Huidig!C50</f>
        <v>0</v>
      </c>
      <c r="D49" s="38">
        <f>30*Huidig!D50</f>
        <v>0</v>
      </c>
      <c r="E49" s="68">
        <f t="shared" si="4"/>
        <v>0</v>
      </c>
      <c r="F49" s="61"/>
      <c r="J49" s="77">
        <f t="shared" si="3"/>
        <v>0</v>
      </c>
      <c r="K49" s="77"/>
    </row>
    <row r="50" spans="1:11" ht="12.75">
      <c r="A50" s="165">
        <f>IF(Huidig!A51="Type een verontreiniging:","",Huidig!A51)</f>
      </c>
      <c r="B50" s="68">
        <f>Huidig!B51</f>
        <v>0</v>
      </c>
      <c r="C50" s="68">
        <f>Huidig!C51</f>
        <v>0</v>
      </c>
      <c r="D50" s="38">
        <f>30*Huidig!D51</f>
        <v>0</v>
      </c>
      <c r="E50" s="68">
        <f t="shared" si="4"/>
        <v>0</v>
      </c>
      <c r="F50" s="61"/>
      <c r="J50" s="77">
        <f t="shared" si="3"/>
        <v>0</v>
      </c>
      <c r="K50" s="77"/>
    </row>
    <row r="51" spans="1:11" ht="12.75">
      <c r="A51" s="165">
        <f>IF(Huidig!A52="Type een verontreiniging:","",Huidig!A52)</f>
      </c>
      <c r="B51" s="68">
        <f>Huidig!B52</f>
        <v>0</v>
      </c>
      <c r="C51" s="68">
        <f>Huidig!C52</f>
        <v>0</v>
      </c>
      <c r="D51" s="38">
        <f>30*Huidig!D52</f>
        <v>0</v>
      </c>
      <c r="E51" s="68">
        <f t="shared" si="4"/>
        <v>0</v>
      </c>
      <c r="F51" s="61"/>
      <c r="J51" s="77">
        <f t="shared" si="3"/>
        <v>0</v>
      </c>
      <c r="K51" s="77"/>
    </row>
    <row r="52" spans="1:11" ht="12.75">
      <c r="A52" s="165">
        <f>IF(Huidig!A53="Type een verontreiniging:","",Huidig!A53)</f>
      </c>
      <c r="B52" s="68">
        <f>Huidig!B53</f>
        <v>0</v>
      </c>
      <c r="C52" s="68">
        <f>Huidig!C53</f>
        <v>0</v>
      </c>
      <c r="D52" s="38">
        <f>30*Huidig!D53</f>
        <v>0</v>
      </c>
      <c r="E52" s="68">
        <f t="shared" si="4"/>
        <v>0</v>
      </c>
      <c r="F52" s="61"/>
      <c r="J52" s="77">
        <f t="shared" si="3"/>
        <v>0</v>
      </c>
      <c r="K52" s="77"/>
    </row>
    <row r="53" spans="1:12" ht="12.75">
      <c r="A53" s="136" t="s">
        <v>36</v>
      </c>
      <c r="B53" s="68"/>
      <c r="C53" s="68"/>
      <c r="D53" s="68"/>
      <c r="E53" s="84">
        <f>SUM(E42:E52)</f>
        <v>0</v>
      </c>
      <c r="J53" s="77"/>
      <c r="K53" s="77"/>
      <c r="L53" s="77"/>
    </row>
    <row r="54" spans="1:12" ht="12.75">
      <c r="A54" s="136" t="str">
        <f>A40</f>
        <v>M2 grondwaterkwaliteit</v>
      </c>
      <c r="B54" s="74">
        <f>Huidig!I54-VI!E53</f>
        <v>0</v>
      </c>
      <c r="C54" s="68"/>
      <c r="D54" s="68"/>
      <c r="E54" s="68"/>
      <c r="J54" s="77"/>
      <c r="K54" s="77"/>
      <c r="L54" s="77"/>
    </row>
    <row r="55" spans="10:12" ht="12.75">
      <c r="J55" s="77"/>
      <c r="K55" s="77"/>
      <c r="L55" s="77"/>
    </row>
    <row r="56" ht="12.75">
      <c r="A56" s="20"/>
    </row>
    <row r="57" ht="12.75">
      <c r="A57" s="55" t="str">
        <f>A1</f>
        <v>Variant VI</v>
      </c>
    </row>
    <row r="58" ht="12.75">
      <c r="A58" s="55" t="str">
        <f>A8</f>
        <v>M3 verlies grond</v>
      </c>
    </row>
    <row r="59" spans="1:3" ht="12.75">
      <c r="A59" s="165" t="s">
        <v>44</v>
      </c>
      <c r="B59" s="38"/>
      <c r="C59" s="54"/>
    </row>
    <row r="60" spans="1:3" ht="12.75">
      <c r="A60" s="165" t="s">
        <v>45</v>
      </c>
      <c r="B60" s="38"/>
      <c r="C60" s="54"/>
    </row>
    <row r="61" spans="1:3" ht="12.75">
      <c r="A61" s="165"/>
      <c r="B61" s="68"/>
      <c r="C61" s="54"/>
    </row>
    <row r="62" spans="1:2" ht="12.75">
      <c r="A62" s="174" t="str">
        <f>A58</f>
        <v>M3 verlies grond</v>
      </c>
      <c r="B62" s="74">
        <f>B59-B60</f>
        <v>0</v>
      </c>
    </row>
    <row r="63" ht="12.75"/>
    <row r="64" ht="12.75">
      <c r="A64" s="20"/>
    </row>
    <row r="65" ht="12.75">
      <c r="A65" s="55" t="str">
        <f>A1</f>
        <v>Variant VI</v>
      </c>
    </row>
    <row r="66" ht="12.75">
      <c r="A66" s="55" t="str">
        <f>A9</f>
        <v>M4 verlies grondwater</v>
      </c>
    </row>
    <row r="67" spans="1:3" ht="12.75">
      <c r="A67" s="165" t="s">
        <v>46</v>
      </c>
      <c r="B67" s="38"/>
      <c r="C67" s="54"/>
    </row>
    <row r="68" spans="1:3" ht="12.75">
      <c r="A68" s="165" t="s">
        <v>47</v>
      </c>
      <c r="B68" s="38"/>
      <c r="C68" s="54"/>
    </row>
    <row r="69" spans="1:3" ht="12.75">
      <c r="A69" s="165"/>
      <c r="B69" s="68"/>
      <c r="C69" s="54"/>
    </row>
    <row r="70" spans="1:2" ht="12.75">
      <c r="A70" s="136" t="str">
        <f>A66</f>
        <v>M4 verlies grondwater</v>
      </c>
      <c r="B70" s="74">
        <f>B67-B68</f>
        <v>0</v>
      </c>
    </row>
    <row r="71" ht="12.75"/>
    <row r="72" ht="12.75">
      <c r="A72" s="20"/>
    </row>
    <row r="73" ht="12.75">
      <c r="A73" s="55" t="str">
        <f>A1</f>
        <v>Variant VI</v>
      </c>
    </row>
    <row r="74" ht="12.75">
      <c r="A74" s="55" t="str">
        <f>A10</f>
        <v>M5/6 energiegebruik en emissies</v>
      </c>
    </row>
    <row r="75" spans="1:12" s="94" customFormat="1" ht="25.5">
      <c r="A75" s="172" t="s">
        <v>48</v>
      </c>
      <c r="B75" s="96" t="s">
        <v>49</v>
      </c>
      <c r="C75" s="97" t="s">
        <v>325</v>
      </c>
      <c r="D75" s="98" t="s">
        <v>275</v>
      </c>
      <c r="E75" s="99" t="s">
        <v>50</v>
      </c>
      <c r="F75" s="96" t="s">
        <v>51</v>
      </c>
      <c r="G75" s="96" t="s">
        <v>52</v>
      </c>
      <c r="H75" s="96" t="s">
        <v>53</v>
      </c>
      <c r="J75" s="95"/>
      <c r="K75" s="95"/>
      <c r="L75" s="95"/>
    </row>
    <row r="76" spans="1:8" ht="12.75">
      <c r="A76" s="135"/>
      <c r="B76" s="68" t="s">
        <v>54</v>
      </c>
      <c r="C76" s="90"/>
      <c r="D76" s="86"/>
      <c r="E76" s="88"/>
      <c r="F76" s="68"/>
      <c r="G76" s="68"/>
      <c r="H76" s="68"/>
    </row>
    <row r="77" spans="1:8" ht="12.75">
      <c r="A77" s="135" t="s">
        <v>371</v>
      </c>
      <c r="B77" s="68" t="s">
        <v>55</v>
      </c>
      <c r="C77" s="91"/>
      <c r="D77" s="239"/>
      <c r="E77" s="89">
        <v>35</v>
      </c>
      <c r="F77" s="68" t="s">
        <v>56</v>
      </c>
      <c r="G77" s="68">
        <f>C77*E77</f>
        <v>0</v>
      </c>
      <c r="H77" s="68"/>
    </row>
    <row r="78" spans="1:8" ht="12.75">
      <c r="A78" s="135" t="s">
        <v>372</v>
      </c>
      <c r="B78" s="68" t="s">
        <v>55</v>
      </c>
      <c r="C78" s="39"/>
      <c r="D78" s="239"/>
      <c r="E78" s="89">
        <v>0.7</v>
      </c>
      <c r="F78" s="68" t="s">
        <v>57</v>
      </c>
      <c r="G78" s="68">
        <f>C78*E78*C79</f>
        <v>0</v>
      </c>
      <c r="H78" s="68"/>
    </row>
    <row r="79" spans="1:8" ht="12.75">
      <c r="A79" s="173" t="s">
        <v>58</v>
      </c>
      <c r="B79" s="85" t="s">
        <v>59</v>
      </c>
      <c r="C79" s="40"/>
      <c r="D79" s="239"/>
      <c r="E79" s="240" t="s">
        <v>54</v>
      </c>
      <c r="F79" s="68"/>
      <c r="G79" s="68" t="s">
        <v>54</v>
      </c>
      <c r="H79" s="68"/>
    </row>
    <row r="80" spans="1:8" ht="12.75">
      <c r="A80" s="135" t="s">
        <v>373</v>
      </c>
      <c r="B80" s="68" t="s">
        <v>55</v>
      </c>
      <c r="C80" s="39"/>
      <c r="D80" s="239"/>
      <c r="E80" s="89">
        <v>0.7</v>
      </c>
      <c r="F80" s="68" t="s">
        <v>57</v>
      </c>
      <c r="G80" s="68">
        <f>C80*E80*C81</f>
        <v>0</v>
      </c>
      <c r="H80" s="68"/>
    </row>
    <row r="81" spans="1:8" ht="12.75">
      <c r="A81" s="173" t="s">
        <v>60</v>
      </c>
      <c r="B81" s="85" t="s">
        <v>59</v>
      </c>
      <c r="C81" s="40"/>
      <c r="D81" s="239"/>
      <c r="E81" s="240" t="s">
        <v>54</v>
      </c>
      <c r="F81" s="68"/>
      <c r="G81" s="68" t="s">
        <v>54</v>
      </c>
      <c r="H81" s="68"/>
    </row>
    <row r="82" spans="1:8" ht="12.75">
      <c r="A82" s="135" t="s">
        <v>374</v>
      </c>
      <c r="B82" s="68" t="s">
        <v>61</v>
      </c>
      <c r="C82" s="241"/>
      <c r="D82" s="87"/>
      <c r="E82" s="89">
        <v>40</v>
      </c>
      <c r="F82" s="68" t="s">
        <v>56</v>
      </c>
      <c r="G82" s="68"/>
      <c r="H82" s="68">
        <f>E82*D82</f>
        <v>0</v>
      </c>
    </row>
    <row r="83" spans="1:8" ht="12.75">
      <c r="A83" s="135" t="s">
        <v>375</v>
      </c>
      <c r="B83" s="68" t="s">
        <v>61</v>
      </c>
      <c r="C83" s="241"/>
      <c r="D83" s="87"/>
      <c r="E83" s="89">
        <v>120</v>
      </c>
      <c r="F83" s="68" t="s">
        <v>56</v>
      </c>
      <c r="G83" s="68"/>
      <c r="H83" s="68">
        <f>E83*D83</f>
        <v>0</v>
      </c>
    </row>
    <row r="84" spans="1:8" ht="12.75">
      <c r="A84" s="135" t="s">
        <v>376</v>
      </c>
      <c r="B84" s="68" t="s">
        <v>61</v>
      </c>
      <c r="C84" s="241"/>
      <c r="D84" s="87"/>
      <c r="E84" s="89">
        <v>600</v>
      </c>
      <c r="F84" s="68" t="s">
        <v>56</v>
      </c>
      <c r="G84" s="68"/>
      <c r="H84" s="68">
        <f>E84*D84</f>
        <v>0</v>
      </c>
    </row>
    <row r="85" spans="1:8" ht="12.75">
      <c r="A85" s="135" t="s">
        <v>377</v>
      </c>
      <c r="B85" s="68" t="s">
        <v>61</v>
      </c>
      <c r="C85" s="241"/>
      <c r="D85" s="87"/>
      <c r="E85" s="89"/>
      <c r="F85" s="68" t="s">
        <v>56</v>
      </c>
      <c r="G85" s="68"/>
      <c r="H85" s="68">
        <f>E85*D85</f>
        <v>0</v>
      </c>
    </row>
    <row r="86" spans="1:8" ht="12.75">
      <c r="A86" s="135" t="s">
        <v>378</v>
      </c>
      <c r="B86" s="68" t="s">
        <v>62</v>
      </c>
      <c r="C86" s="241"/>
      <c r="D86" s="39"/>
      <c r="E86" s="89">
        <v>0.05</v>
      </c>
      <c r="F86" s="68" t="s">
        <v>63</v>
      </c>
      <c r="G86" s="68"/>
      <c r="H86" s="68">
        <f>IF($D$87&gt;0,D86*$E86*$D$87,D86*$E86*2)</f>
        <v>0</v>
      </c>
    </row>
    <row r="87" spans="1:8" ht="12.75">
      <c r="A87" s="173" t="s">
        <v>64</v>
      </c>
      <c r="B87" s="68" t="s">
        <v>65</v>
      </c>
      <c r="C87" s="241"/>
      <c r="D87" s="40"/>
      <c r="E87" s="240"/>
      <c r="F87" s="68"/>
      <c r="G87" s="68"/>
      <c r="H87" s="68"/>
    </row>
    <row r="88" spans="1:8" ht="12.75">
      <c r="A88" s="135" t="s">
        <v>379</v>
      </c>
      <c r="B88" s="68" t="s">
        <v>66</v>
      </c>
      <c r="C88" s="39"/>
      <c r="D88" s="239"/>
      <c r="E88" s="89"/>
      <c r="F88" s="68" t="s">
        <v>63</v>
      </c>
      <c r="G88" s="68">
        <f>IF($C$89&gt;0,IF(E88&gt;0,C88*$E88*$C$89,C88*0.02*$C$89),IF(E88&gt;0,C88*$E88*2,C88*2*0.02))</f>
        <v>0</v>
      </c>
      <c r="H88" s="68"/>
    </row>
    <row r="89" spans="1:8" ht="12.75">
      <c r="A89" s="173" t="s">
        <v>64</v>
      </c>
      <c r="B89" s="68" t="s">
        <v>67</v>
      </c>
      <c r="C89" s="40"/>
      <c r="D89" s="239"/>
      <c r="E89" s="240" t="s">
        <v>54</v>
      </c>
      <c r="F89" s="68" t="s">
        <v>54</v>
      </c>
      <c r="G89" s="68" t="s">
        <v>54</v>
      </c>
      <c r="H89" s="68"/>
    </row>
    <row r="90" spans="1:8" ht="12.75">
      <c r="A90" s="135" t="s">
        <v>380</v>
      </c>
      <c r="B90" s="68" t="s">
        <v>62</v>
      </c>
      <c r="C90" s="241"/>
      <c r="D90" s="87"/>
      <c r="E90" s="89">
        <v>0.4</v>
      </c>
      <c r="F90" s="68" t="s">
        <v>68</v>
      </c>
      <c r="G90" s="68"/>
      <c r="H90" s="68">
        <f>E90*D90</f>
        <v>0</v>
      </c>
    </row>
    <row r="91" spans="1:8" ht="12.75">
      <c r="A91" s="135" t="s">
        <v>381</v>
      </c>
      <c r="B91" s="68" t="s">
        <v>62</v>
      </c>
      <c r="C91" s="241"/>
      <c r="D91" s="87"/>
      <c r="E91" s="89">
        <v>1.2</v>
      </c>
      <c r="F91" s="68" t="s">
        <v>68</v>
      </c>
      <c r="G91" s="68"/>
      <c r="H91" s="68">
        <f>E91*D91</f>
        <v>0</v>
      </c>
    </row>
    <row r="92" spans="1:8" ht="12.75">
      <c r="A92" s="135" t="s">
        <v>326</v>
      </c>
      <c r="B92" s="162" t="s">
        <v>327</v>
      </c>
      <c r="C92" s="163"/>
      <c r="D92" s="239"/>
      <c r="E92" s="89">
        <f>1000*0.03165</f>
        <v>31.65</v>
      </c>
      <c r="F92" s="68" t="s">
        <v>68</v>
      </c>
      <c r="G92" s="68"/>
      <c r="H92" s="69">
        <f>C92*E92</f>
        <v>0</v>
      </c>
    </row>
    <row r="93" spans="1:8" ht="12.75">
      <c r="A93" s="165" t="s">
        <v>69</v>
      </c>
      <c r="B93" s="68" t="s">
        <v>56</v>
      </c>
      <c r="C93" s="91"/>
      <c r="D93" s="239"/>
      <c r="E93" s="89">
        <v>35</v>
      </c>
      <c r="F93" s="68" t="s">
        <v>56</v>
      </c>
      <c r="G93" s="68">
        <f>E93*C93</f>
        <v>0</v>
      </c>
      <c r="H93" s="68"/>
    </row>
    <row r="94" spans="1:8" ht="12.75">
      <c r="A94" s="165" t="s">
        <v>70</v>
      </c>
      <c r="B94" s="85" t="s">
        <v>71</v>
      </c>
      <c r="C94" s="241"/>
      <c r="D94" s="87"/>
      <c r="E94" s="240"/>
      <c r="F94" s="68" t="s">
        <v>54</v>
      </c>
      <c r="G94" s="68"/>
      <c r="H94" s="68">
        <f>D94</f>
        <v>0</v>
      </c>
    </row>
    <row r="95" spans="1:8" ht="12.75">
      <c r="A95" s="136" t="s">
        <v>72</v>
      </c>
      <c r="B95" s="67"/>
      <c r="C95" s="68"/>
      <c r="D95" s="68"/>
      <c r="E95" s="68"/>
      <c r="F95" s="68" t="s">
        <v>54</v>
      </c>
      <c r="G95" s="68">
        <f>SUM(G77:G94)</f>
        <v>0</v>
      </c>
      <c r="H95" s="68">
        <f>SUM(H77:H94)</f>
        <v>0</v>
      </c>
    </row>
    <row r="96" spans="1:8" ht="12.75">
      <c r="A96" s="135"/>
      <c r="B96" s="68"/>
      <c r="C96" s="68"/>
      <c r="D96" s="68"/>
      <c r="E96" s="68"/>
      <c r="F96" s="68"/>
      <c r="G96" s="68"/>
      <c r="H96" s="68"/>
    </row>
    <row r="97" spans="1:8" ht="12.75">
      <c r="A97" s="165"/>
      <c r="B97" s="67"/>
      <c r="C97" s="68"/>
      <c r="D97" s="68"/>
      <c r="E97" s="68"/>
      <c r="F97" s="68"/>
      <c r="G97" s="68"/>
      <c r="H97" s="68"/>
    </row>
    <row r="98" spans="1:8" ht="12.75">
      <c r="A98" s="136" t="s">
        <v>318</v>
      </c>
      <c r="B98" s="74">
        <f>0.001*(G95+H95)/200</f>
        <v>0</v>
      </c>
      <c r="C98" s="68" t="s">
        <v>74</v>
      </c>
      <c r="D98" s="68"/>
      <c r="E98" s="69"/>
      <c r="F98" s="68"/>
      <c r="G98" s="68"/>
      <c r="H98" s="68"/>
    </row>
    <row r="99" spans="1:8" ht="12.75">
      <c r="A99" s="73" t="s">
        <v>319</v>
      </c>
      <c r="B99" s="74">
        <f>0.001*(0.0219*H95+0.0074*G95)</f>
        <v>0</v>
      </c>
      <c r="C99" s="68" t="s">
        <v>74</v>
      </c>
      <c r="D99" s="68"/>
      <c r="E99" s="68"/>
      <c r="F99" s="68"/>
      <c r="G99" s="68"/>
      <c r="H99" s="68"/>
    </row>
    <row r="100" ht="12.75"/>
    <row r="101" ht="12.75">
      <c r="A101" s="20"/>
    </row>
    <row r="102" ht="12.75">
      <c r="A102" s="55" t="str">
        <f>A1</f>
        <v>Variant VI</v>
      </c>
    </row>
    <row r="103" ht="12.75">
      <c r="A103" s="55" t="str">
        <f>A11</f>
        <v>M7 opp. wateremissies</v>
      </c>
    </row>
    <row r="104" spans="1:12" s="19" customFormat="1" ht="51">
      <c r="A104" s="170" t="str">
        <f>A41</f>
        <v>Verontreinigende stof</v>
      </c>
      <c r="B104" s="132" t="s">
        <v>394</v>
      </c>
      <c r="C104" s="132" t="s">
        <v>39</v>
      </c>
      <c r="D104" s="132" t="s">
        <v>24</v>
      </c>
      <c r="E104" s="132" t="s">
        <v>361</v>
      </c>
      <c r="J104" s="78"/>
      <c r="K104" s="78"/>
      <c r="L104" s="78"/>
    </row>
    <row r="105" spans="1:10" ht="12.75">
      <c r="A105" s="171"/>
      <c r="B105" s="205">
        <f>IF(INDEX(Normen!$A$12:$I$128,J105,9)&lt;&gt;"NB",0.5*(INDEX(Normen!$A$12:$I$128,J105,8)+INDEX(Normen!$A$12:$I$128,J105,9)),"NB")</f>
        <v>0</v>
      </c>
      <c r="C105" s="38"/>
      <c r="D105" s="38"/>
      <c r="E105" s="68">
        <f>IF(AND(B105&lt;&gt;"NB",B105&gt;0,C105&gt;INDEX(Normen!$A$12:$I$128,J105,8)),(C105)*D105/B105,0)</f>
        <v>0</v>
      </c>
      <c r="J105" s="242">
        <v>1</v>
      </c>
    </row>
    <row r="106" spans="1:10" ht="12.75">
      <c r="A106" s="171"/>
      <c r="B106" s="205">
        <f>IF(INDEX(Normen!$A$12:$I$128,J106,9)&lt;&gt;"NB",0.5*(INDEX(Normen!$A$12:$I$128,J106,8)+INDEX(Normen!$A$12:$I$128,J106,9)),"NB")</f>
        <v>0</v>
      </c>
      <c r="C106" s="38"/>
      <c r="D106" s="38"/>
      <c r="E106" s="68">
        <f>IF(AND(B106&lt;&gt;"NB",B106&gt;0,C106&gt;INDEX(Normen!$A$12:$I$128,J106,8)),(C106)*D106/B106,0)</f>
        <v>0</v>
      </c>
      <c r="J106" s="242">
        <v>1</v>
      </c>
    </row>
    <row r="107" spans="1:10" ht="12.75">
      <c r="A107" s="171"/>
      <c r="B107" s="205">
        <f>IF(INDEX(Normen!$A$12:$I$128,J107,9)&lt;&gt;"NB",0.5*(INDEX(Normen!$A$12:$I$128,J107,8)+INDEX(Normen!$A$12:$I$128,J107,9)),"NB")</f>
        <v>0</v>
      </c>
      <c r="C107" s="38"/>
      <c r="D107" s="38"/>
      <c r="E107" s="68">
        <f>IF(AND(B107&lt;&gt;"NB",B107&gt;0,C107&gt;INDEX(Normen!$A$12:$I$128,J107,8)),(C107)*D107/B107,0)</f>
        <v>0</v>
      </c>
      <c r="J107" s="242">
        <v>1</v>
      </c>
    </row>
    <row r="108" spans="1:10" ht="12.75">
      <c r="A108" s="171"/>
      <c r="B108" s="205">
        <f>IF(INDEX(Normen!$A$12:$I$128,J108,9)&lt;&gt;"NB",0.5*(INDEX(Normen!$A$12:$I$128,J108,8)+INDEX(Normen!$A$12:$I$128,J108,9)),"NB")</f>
        <v>0</v>
      </c>
      <c r="C108" s="38"/>
      <c r="D108" s="38"/>
      <c r="E108" s="68">
        <f>IF(AND(B108&lt;&gt;"NB",B108&gt;0,C108&gt;INDEX(Normen!$A$12:$I$128,J108,8)),(C108)*D108/B108,0)</f>
        <v>0</v>
      </c>
      <c r="J108" s="242">
        <v>1</v>
      </c>
    </row>
    <row r="109" spans="1:10" ht="12.75">
      <c r="A109" s="171"/>
      <c r="B109" s="205">
        <f>IF(INDEX(Normen!$A$12:$I$128,J109,9)&lt;&gt;"NB",0.5*(INDEX(Normen!$A$12:$I$128,J109,8)+INDEX(Normen!$A$12:$I$128,J109,9)),"NB")</f>
        <v>0</v>
      </c>
      <c r="C109" s="38"/>
      <c r="D109" s="38"/>
      <c r="E109" s="68">
        <f>IF(AND(B109&lt;&gt;"NB",B109&gt;0,C109&gt;INDEX(Normen!$A$12:$I$128,J109,8)),(C109)*D109/B109,0)</f>
        <v>0</v>
      </c>
      <c r="J109" s="242">
        <v>1</v>
      </c>
    </row>
    <row r="110" spans="1:10" ht="12.75">
      <c r="A110" s="171"/>
      <c r="B110" s="205">
        <f>IF(INDEX(Normen!$A$12:$I$128,J110,9)&lt;&gt;"NB",0.5*(INDEX(Normen!$A$12:$I$128,J110,8)+INDEX(Normen!$A$12:$I$128,J110,9)),"NB")</f>
        <v>0</v>
      </c>
      <c r="C110" s="38"/>
      <c r="D110" s="38"/>
      <c r="E110" s="68">
        <f>IF(AND(B110&lt;&gt;"NB",B110&gt;0,C110&gt;INDEX(Normen!$A$12:$I$128,J110,8)),(C110)*D110/B110,0)</f>
        <v>0</v>
      </c>
      <c r="J110" s="242">
        <v>1</v>
      </c>
    </row>
    <row r="111" spans="1:10" ht="12.75">
      <c r="A111" s="171"/>
      <c r="B111" s="205">
        <f>IF(INDEX(Normen!$A$12:$I$128,J111,9)&lt;&gt;"NB",0.5*(INDEX(Normen!$A$12:$I$128,J111,8)+INDEX(Normen!$A$12:$I$128,J111,9)),"NB")</f>
        <v>0</v>
      </c>
      <c r="C111" s="38"/>
      <c r="D111" s="38"/>
      <c r="E111" s="68">
        <f>IF(AND(B111&lt;&gt;"NB",B111&gt;0,C111&gt;INDEX(Normen!$A$12:$I$128,J111,8)),(C111)*D111/B111,0)</f>
        <v>0</v>
      </c>
      <c r="J111" s="242">
        <v>1</v>
      </c>
    </row>
    <row r="112" spans="1:5" ht="12.75">
      <c r="A112" s="171"/>
      <c r="B112" s="205"/>
      <c r="C112" s="38"/>
      <c r="D112" s="38"/>
      <c r="E112" s="68">
        <f>IF(AND(B112&lt;&gt;"NB",B112&gt;0,C112&gt;INDEX(Normen!$A$12:$I$128,J112,8)),(C112)*D112/B112,0)</f>
        <v>0</v>
      </c>
    </row>
    <row r="113" spans="1:5" ht="12.75">
      <c r="A113" s="171"/>
      <c r="B113" s="205"/>
      <c r="C113" s="38"/>
      <c r="D113" s="38"/>
      <c r="E113" s="68">
        <f>IF(AND(B113&lt;&gt;"NB",B113&gt;0,C113&gt;INDEX(Normen!$A$12:$I$128,J113,8)),(C113)*D113/B113,0)</f>
        <v>0</v>
      </c>
    </row>
    <row r="114" spans="1:5" ht="12.75">
      <c r="A114" s="171"/>
      <c r="B114" s="205"/>
      <c r="C114" s="38"/>
      <c r="D114" s="38"/>
      <c r="E114" s="68">
        <f>IF(AND(B114&lt;&gt;"NB",B114&gt;0,C114&gt;INDEX(Normen!$A$12:$I$128,J114,8)),(C114)*D114/B114,0)</f>
        <v>0</v>
      </c>
    </row>
    <row r="115" spans="1:5" ht="12.75">
      <c r="A115" s="171"/>
      <c r="B115" s="205"/>
      <c r="C115" s="38"/>
      <c r="D115" s="38"/>
      <c r="E115" s="68">
        <f>IF(AND(B115&lt;&gt;"NB",B115&gt;0,C115&gt;INDEX(Normen!$A$12:$I$128,J115,8)),(C115)*D115/B115,0)</f>
        <v>0</v>
      </c>
    </row>
    <row r="116" spans="1:5" ht="12.75">
      <c r="A116" s="165"/>
      <c r="B116" s="68"/>
      <c r="C116" s="68"/>
      <c r="D116" s="68"/>
      <c r="E116" s="68"/>
    </row>
    <row r="117" spans="1:5" ht="12.75">
      <c r="A117" s="136" t="str">
        <f>A103</f>
        <v>M7 opp. wateremissies</v>
      </c>
      <c r="B117" s="74">
        <f>SUM(E105:E114)</f>
        <v>0</v>
      </c>
      <c r="C117" s="68"/>
      <c r="D117" s="68"/>
      <c r="E117" s="68"/>
    </row>
    <row r="118" ht="12.75"/>
    <row r="119" ht="12.75">
      <c r="A119" s="20"/>
    </row>
    <row r="120" ht="12.75">
      <c r="A120" s="55" t="str">
        <f>A1</f>
        <v>Variant VI</v>
      </c>
    </row>
    <row r="121" ht="12.75">
      <c r="A121" s="55" t="str">
        <f>A12</f>
        <v>M8 afvalvorming</v>
      </c>
    </row>
    <row r="122" spans="1:2" ht="12.75">
      <c r="A122" s="165" t="s">
        <v>75</v>
      </c>
      <c r="B122" s="38"/>
    </row>
    <row r="123" spans="1:2" ht="12.75">
      <c r="A123" s="165" t="s">
        <v>76</v>
      </c>
      <c r="B123" s="38"/>
    </row>
    <row r="124" spans="1:2" ht="12.75">
      <c r="A124" s="165" t="s">
        <v>77</v>
      </c>
      <c r="B124" s="38"/>
    </row>
    <row r="125" spans="1:2" ht="12.75">
      <c r="A125" s="165"/>
      <c r="B125" s="71"/>
    </row>
    <row r="126" spans="1:2" ht="12.75">
      <c r="A126" s="165"/>
      <c r="B126" s="71"/>
    </row>
    <row r="127" spans="1:2" ht="12.75">
      <c r="A127" s="136" t="str">
        <f>A121</f>
        <v>M8 afvalvorming</v>
      </c>
      <c r="B127" s="74">
        <f>SUM(B122:B124)</f>
        <v>0</v>
      </c>
    </row>
    <row r="128" ht="12.75"/>
    <row r="129" ht="12.75">
      <c r="A129" s="20"/>
    </row>
    <row r="130" ht="12.75">
      <c r="A130" s="55" t="str">
        <f>A1</f>
        <v>Variant VI</v>
      </c>
    </row>
    <row r="131" ht="12.75">
      <c r="A131" s="55" t="str">
        <f>A13</f>
        <v>M9 ruimtebeslag</v>
      </c>
    </row>
    <row r="132" spans="1:6" ht="12.75">
      <c r="A132" s="169"/>
      <c r="B132" s="168" t="s">
        <v>78</v>
      </c>
      <c r="C132" s="168" t="s">
        <v>79</v>
      </c>
      <c r="D132" s="168" t="s">
        <v>80</v>
      </c>
      <c r="E132" s="168" t="s">
        <v>81</v>
      </c>
      <c r="F132" s="168" t="s">
        <v>82</v>
      </c>
    </row>
    <row r="133" spans="1:6" ht="12.75">
      <c r="A133" s="165" t="s">
        <v>83</v>
      </c>
      <c r="B133" s="38"/>
      <c r="C133" s="38"/>
      <c r="D133" s="38"/>
      <c r="E133" s="38"/>
      <c r="F133" s="38"/>
    </row>
    <row r="134" spans="1:6" ht="12.75">
      <c r="A134" s="165" t="s">
        <v>84</v>
      </c>
      <c r="B134" s="38"/>
      <c r="C134" s="38"/>
      <c r="D134" s="38"/>
      <c r="E134" s="38"/>
      <c r="F134" s="38"/>
    </row>
    <row r="135" spans="1:6" ht="12.75">
      <c r="A135" s="136" t="s">
        <v>85</v>
      </c>
      <c r="B135" s="68">
        <f>B133*B134</f>
        <v>0</v>
      </c>
      <c r="C135" s="68">
        <f>C133*C134</f>
        <v>0</v>
      </c>
      <c r="D135" s="68">
        <f>D133*D134</f>
        <v>0</v>
      </c>
      <c r="E135" s="68">
        <f>E133*E134</f>
        <v>0</v>
      </c>
      <c r="F135" s="68">
        <f>F133*F134</f>
        <v>0</v>
      </c>
    </row>
    <row r="136" spans="1:6" ht="12.75">
      <c r="A136" s="165"/>
      <c r="B136" s="74" t="str">
        <f>IF(B134&gt;30,"Maximaal 30 invullen!!"," ")</f>
        <v> </v>
      </c>
      <c r="C136" s="74" t="str">
        <f>IF(C134&gt;30,"Maximaal 30 invullen!!"," ")</f>
        <v> </v>
      </c>
      <c r="D136" s="74" t="str">
        <f>IF(D134&gt;30,"Maximaal 30 invullen!!"," ")</f>
        <v> </v>
      </c>
      <c r="E136" s="74" t="str">
        <f>IF(E134&gt;30,"Maximaal 30 invullen!!"," ")</f>
        <v> </v>
      </c>
      <c r="F136" s="74" t="str">
        <f>IF(F134&gt;30,"Maximaal 30 invullen!!"," ")</f>
        <v> </v>
      </c>
    </row>
    <row r="137" spans="1:6" ht="12.75">
      <c r="A137" s="136" t="str">
        <f>A131</f>
        <v>M9 ruimtebeslag</v>
      </c>
      <c r="B137" s="74">
        <f>SUM(B135:F135)</f>
        <v>0</v>
      </c>
      <c r="C137" s="68"/>
      <c r="D137" s="68"/>
      <c r="E137" s="68"/>
      <c r="F137" s="68"/>
    </row>
    <row r="138" ht="12.75"/>
    <row r="139" ht="12.75"/>
    <row r="140" ht="12.75">
      <c r="A140" s="55" t="str">
        <f>A1</f>
        <v>Variant VI</v>
      </c>
    </row>
    <row r="141" spans="1:14" s="19" customFormat="1" ht="12.75">
      <c r="A141" s="164" t="str">
        <f>A16</f>
        <v>Effectenoverzicht</v>
      </c>
      <c r="B141" s="132" t="s">
        <v>51</v>
      </c>
      <c r="C141" s="132" t="s">
        <v>86</v>
      </c>
      <c r="J141" s="78"/>
      <c r="K141" s="78"/>
      <c r="L141" s="78"/>
      <c r="M141" s="79"/>
      <c r="N141" s="80"/>
    </row>
    <row r="142" spans="1:14" ht="12.75">
      <c r="A142" s="165" t="str">
        <f>A36</f>
        <v>M1 grondkwaliteit</v>
      </c>
      <c r="B142" s="68" t="s">
        <v>360</v>
      </c>
      <c r="C142" s="92">
        <f>B36/1000</f>
        <v>0</v>
      </c>
      <c r="D142" s="51"/>
      <c r="F142" s="81"/>
      <c r="M142" s="82"/>
      <c r="N142" s="83"/>
    </row>
    <row r="143" spans="1:14" ht="12.75">
      <c r="A143" s="165" t="str">
        <f>A54</f>
        <v>M2 grondwaterkwaliteit</v>
      </c>
      <c r="B143" s="68" t="s">
        <v>360</v>
      </c>
      <c r="C143" s="92">
        <f>B54/1000</f>
        <v>0</v>
      </c>
      <c r="D143" s="51"/>
      <c r="F143" s="81"/>
      <c r="M143" s="82"/>
      <c r="N143" s="83"/>
    </row>
    <row r="144" spans="1:14" ht="14.25">
      <c r="A144" s="165" t="str">
        <f>A62</f>
        <v>M3 verlies grond</v>
      </c>
      <c r="B144" s="68" t="s">
        <v>87</v>
      </c>
      <c r="C144" s="92">
        <f>(-B62)</f>
        <v>0</v>
      </c>
      <c r="E144" s="51"/>
      <c r="F144" s="81"/>
      <c r="M144" s="82"/>
      <c r="N144" s="83"/>
    </row>
    <row r="145" spans="1:14" ht="14.25">
      <c r="A145" s="165" t="str">
        <f>A70</f>
        <v>M4 verlies grondwater</v>
      </c>
      <c r="B145" s="68" t="s">
        <v>88</v>
      </c>
      <c r="C145" s="92">
        <f>-B70/1000</f>
        <v>0</v>
      </c>
      <c r="E145" s="51"/>
      <c r="F145" s="81"/>
      <c r="M145" s="82"/>
      <c r="N145" s="83"/>
    </row>
    <row r="146" spans="1:14" ht="12.75">
      <c r="A146" s="165" t="str">
        <f>A98</f>
        <v>M5 energiegebruik</v>
      </c>
      <c r="B146" s="68" t="str">
        <f>C98</f>
        <v>inw.eq</v>
      </c>
      <c r="C146" s="69">
        <f>-B98</f>
        <v>0</v>
      </c>
      <c r="E146" s="51"/>
      <c r="F146" s="81"/>
      <c r="M146" s="82"/>
      <c r="N146" s="83"/>
    </row>
    <row r="147" spans="1:14" ht="12.75">
      <c r="A147" s="165" t="str">
        <f>A99</f>
        <v>M6 luchtemissies</v>
      </c>
      <c r="B147" s="68" t="s">
        <v>74</v>
      </c>
      <c r="C147" s="69">
        <f>-B99</f>
        <v>0</v>
      </c>
      <c r="E147" s="51"/>
      <c r="F147" s="81"/>
      <c r="M147" s="82"/>
      <c r="N147" s="83"/>
    </row>
    <row r="148" spans="1:14" ht="12.75">
      <c r="A148" s="165" t="str">
        <f>A117</f>
        <v>M7 opp. wateremissies</v>
      </c>
      <c r="B148" s="68" t="s">
        <v>360</v>
      </c>
      <c r="C148" s="69">
        <f>-B117/1000</f>
        <v>0</v>
      </c>
      <c r="E148" s="51"/>
      <c r="F148" s="81"/>
      <c r="M148" s="82"/>
      <c r="N148" s="83"/>
    </row>
    <row r="149" spans="1:14" ht="14.25">
      <c r="A149" s="165" t="str">
        <f>A127</f>
        <v>M8 afvalvorming</v>
      </c>
      <c r="B149" s="68" t="s">
        <v>87</v>
      </c>
      <c r="C149" s="69">
        <f>-B127</f>
        <v>0</v>
      </c>
      <c r="E149" s="51"/>
      <c r="F149" s="81"/>
      <c r="M149" s="82"/>
      <c r="N149" s="83"/>
    </row>
    <row r="150" spans="1:14" ht="14.25">
      <c r="A150" s="165" t="str">
        <f>A137</f>
        <v>M9 ruimtebeslag</v>
      </c>
      <c r="B150" s="68" t="s">
        <v>89</v>
      </c>
      <c r="C150" s="69">
        <f>-B137</f>
        <v>0</v>
      </c>
      <c r="E150" s="51"/>
      <c r="F150" s="81"/>
      <c r="M150" s="82"/>
      <c r="N150" s="83"/>
    </row>
    <row r="151" ht="12.75">
      <c r="A151" s="58"/>
    </row>
    <row r="154" ht="12.75"/>
    <row r="155" ht="12.75"/>
    <row r="156" ht="12.75"/>
  </sheetData>
  <sheetProtection sheet="1" scenarios="1"/>
  <printOptions/>
  <pageMargins left="0.5905511811023623" right="0.5905511811023623" top="0.984251968503937" bottom="0.984251968503937" header="0.5118110236220472" footer="0.5118110236220472"/>
  <pageSetup fitToHeight="3" fitToWidth="1" horizontalDpi="300" verticalDpi="300" orientation="portrait" paperSize="9" scale="94" r:id="rId3"/>
  <headerFooter alignWithMargins="0">
    <oddHeader>&amp;C&amp;F</oddHeader>
    <oddFooter>&amp;CMilieuverdienste in RMK</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Euro Beinat, Ron Janssen</Manager>
  <Company>Instituut voor Milieuvraagstukken</Company>
  <HyperlinkBase>http://www.vu.nl/ivm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Milieuverdienste in RMK versie 3.001</dc:title>
  <dc:subject/>
  <dc:creator>Michiel van Drunen</dc:creator>
  <cp:keywords/>
  <dc:description>Het RMK-project werd uitgevoerd in opdracht van Nobis (Nederlands Onderzoeksprogramma Biotechnologische In-situ Sanering), tezamen met het ministerie van VROM, de Provincie Gelderland, Shell International Oil Products bv en het Gemeentelijk Havenbedrijf Rotterdam. Het onderdeel Milieuverdienste is bedacht en uitgewerkt door Euro Beinat, Michiel van Drunen en Ron Janssen van het Instituut voor Milieuvraagstukken (IVM) van de Vrije Universiteit in Amsterdam. De spreadsheet is gemaakt door Michiel van Drunen van het IVM. 
Aan het RMK-model en de bijbehorende Excel-sjablonen kunnen geen rechten worden ontleend. Het RMK-consortium aanvaardt geen enkele aansprakelijkheid voor schade, van welke aard dan ook, die het gevolg is van handelingen of beslissingen die gebaseerd zijn op het RMK-model of de RMK-methodiek.
</dc:description>
  <cp:lastModifiedBy>IVM</cp:lastModifiedBy>
  <cp:lastPrinted>2000-02-03T13:44:51Z</cp:lastPrinted>
  <dcterms:created xsi:type="dcterms:W3CDTF">1997-06-24T13:25:46Z</dcterms:created>
  <dcterms:modified xsi:type="dcterms:W3CDTF">2000-03-21T11:02:13Z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